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hesis\03.Analysis\"/>
    </mc:Choice>
  </mc:AlternateContent>
  <xr:revisionPtr revIDLastSave="0" documentId="13_ncr:1_{4D8EE9C7-5BBA-42D3-BD86-F8F47F18D21A}" xr6:coauthVersionLast="47" xr6:coauthVersionMax="47" xr10:uidLastSave="{00000000-0000-0000-0000-000000000000}"/>
  <bookViews>
    <workbookView xWindow="-108" yWindow="-108" windowWidth="23256" windowHeight="12456" xr2:uid="{8265AE24-8AB8-4C54-9DD4-9FC9110872E7}"/>
  </bookViews>
  <sheets>
    <sheet name="Wind" sheetId="1" r:id="rId1"/>
    <sheet name="Tab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6" i="1" l="1"/>
  <c r="M40" i="1"/>
  <c r="AA49" i="1"/>
  <c r="AA23" i="1"/>
  <c r="AA58" i="1"/>
  <c r="AA53" i="1"/>
  <c r="AA59" i="1" s="1"/>
  <c r="AA28" i="1"/>
  <c r="AA29" i="1"/>
  <c r="AH20" i="1"/>
  <c r="AH37" i="1" s="1"/>
  <c r="AH18" i="1"/>
  <c r="AH15" i="1"/>
  <c r="AA15" i="1"/>
  <c r="T16" i="1"/>
  <c r="AA16" i="1" s="1"/>
  <c r="AH16" i="1" s="1"/>
  <c r="T22" i="1"/>
  <c r="AH22" i="1" s="1"/>
  <c r="T21" i="1"/>
  <c r="AH21" i="1" s="1"/>
  <c r="T20" i="1"/>
  <c r="T39" i="1" s="1"/>
  <c r="Q19" i="1"/>
  <c r="R19" i="1" s="1"/>
  <c r="T18" i="1"/>
  <c r="T15" i="1"/>
  <c r="M20" i="1"/>
  <c r="J19" i="1"/>
  <c r="M19" i="1" s="1"/>
  <c r="M23" i="1" s="1"/>
  <c r="M18" i="1"/>
  <c r="M15" i="1"/>
  <c r="M17" i="1" s="1"/>
  <c r="E35" i="1"/>
  <c r="E20" i="1"/>
  <c r="AA30" i="1" l="1"/>
  <c r="AH23" i="1"/>
  <c r="T48" i="1"/>
  <c r="AA44" i="1"/>
  <c r="AA48" i="1"/>
  <c r="AA50" i="1" s="1"/>
  <c r="AA47" i="1" s="1"/>
  <c r="AA45" i="1"/>
  <c r="AA64" i="1"/>
  <c r="AA57" i="1"/>
  <c r="AA55" i="1" s="1"/>
  <c r="AH28" i="1"/>
  <c r="AH32" i="1"/>
  <c r="T35" i="1"/>
  <c r="T31" i="1"/>
  <c r="M24" i="1"/>
  <c r="AA17" i="1"/>
  <c r="AA19" i="1" s="1"/>
  <c r="AA20" i="1" s="1"/>
  <c r="AH17" i="1"/>
  <c r="T17" i="1"/>
  <c r="T19" i="1"/>
  <c r="T23" i="1" s="1"/>
  <c r="K19" i="1"/>
  <c r="E70" i="1"/>
  <c r="E71" i="1" s="1"/>
  <c r="E72" i="1" s="1"/>
  <c r="E73" i="1" s="1"/>
  <c r="E74" i="1" s="1"/>
  <c r="E76" i="1" s="1"/>
  <c r="AA46" i="1" l="1"/>
  <c r="AA43" i="1" s="1"/>
  <c r="AH24" i="1"/>
  <c r="AH25" i="1" s="1"/>
  <c r="T24" i="1"/>
  <c r="T25" i="1" s="1"/>
  <c r="M29" i="1"/>
  <c r="M33" i="1"/>
  <c r="E12" i="1"/>
  <c r="E7" i="1"/>
  <c r="E32" i="1"/>
  <c r="E31" i="1"/>
  <c r="E30" i="1"/>
  <c r="E26" i="1"/>
  <c r="E21" i="1"/>
  <c r="E23" i="1" s="1"/>
  <c r="E24" i="1" s="1"/>
  <c r="E22" i="1"/>
  <c r="E37" i="1" l="1"/>
  <c r="E43" i="1" l="1"/>
  <c r="E27" i="1"/>
  <c r="E29" i="1" l="1"/>
  <c r="M25" i="1"/>
  <c r="M26" i="1" l="1"/>
  <c r="M35" i="1" s="1"/>
  <c r="O35" i="1" s="1"/>
  <c r="E44" i="1"/>
  <c r="E95" i="1" s="1"/>
  <c r="AA60" i="1"/>
  <c r="AA63" i="1" s="1"/>
  <c r="T26" i="1"/>
  <c r="E39" i="1"/>
  <c r="AA21" i="1"/>
  <c r="AA25" i="1" s="1"/>
  <c r="AH26" i="1"/>
  <c r="M38" i="1" l="1"/>
  <c r="M39" i="1" s="1"/>
  <c r="M31" i="1"/>
  <c r="O31" i="1" s="1"/>
  <c r="E48" i="1"/>
  <c r="E47" i="1"/>
  <c r="E100" i="1"/>
  <c r="M32" i="1"/>
  <c r="O32" i="1" s="1"/>
  <c r="M36" i="1"/>
  <c r="O36" i="1" s="1"/>
  <c r="E51" i="1"/>
  <c r="AH30" i="1"/>
  <c r="AH35" i="1"/>
  <c r="AH36" i="1" s="1"/>
  <c r="AH38" i="1" s="1"/>
  <c r="AH40" i="1" s="1"/>
  <c r="AA26" i="1"/>
  <c r="E50" i="1"/>
  <c r="T33" i="1"/>
  <c r="AH31" i="1"/>
  <c r="T46" i="1"/>
  <c r="T34" i="1"/>
  <c r="T37" i="1"/>
  <c r="E79" i="1"/>
  <c r="E97" i="1" s="1"/>
  <c r="E78" i="1"/>
  <c r="E96" i="1" s="1"/>
  <c r="E81" i="1"/>
  <c r="E99" i="1" s="1"/>
  <c r="E80" i="1"/>
  <c r="E98" i="1" s="1"/>
  <c r="M42" i="1" l="1"/>
  <c r="AH41" i="1"/>
  <c r="AH42" i="1"/>
  <c r="T38" i="1"/>
  <c r="T40" i="1" s="1"/>
  <c r="T42" i="1" s="1"/>
  <c r="T50" i="1"/>
  <c r="T47" i="1"/>
  <c r="T43" i="1" l="1"/>
  <c r="T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Robin A.</author>
    <author>tc={E747D82A-EFD0-4C72-BBBE-399F8B0F1471}</author>
  </authors>
  <commentList>
    <comment ref="E8" authorId="0" shapeId="0" xr:uid="{211FECE7-987A-4CC6-8C5C-544567CEB5FD}">
      <text>
        <r>
          <rPr>
            <b/>
            <sz val="9"/>
            <color indexed="81"/>
            <rFont val="Tahoma"/>
            <family val="2"/>
          </rPr>
          <t>Height from the rail level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9" authorId="0" shapeId="0" xr:uid="{481F2A9F-373A-4B52-9BFA-A6E261FA5C6B}">
      <text>
        <r>
          <rPr>
            <sz val="9"/>
            <color indexed="81"/>
            <rFont val="Tahoma"/>
            <family val="2"/>
          </rPr>
          <t xml:space="preserve">Imposed by railway authority
</t>
        </r>
      </text>
    </comment>
    <comment ref="B10" authorId="0" shapeId="0" xr:uid="{F8A07B44-FBAC-4028-801E-5468E648BF7C}">
      <text>
        <r>
          <rPr>
            <sz val="9"/>
            <color indexed="81"/>
            <rFont val="Tahoma"/>
            <family val="2"/>
          </rPr>
          <t xml:space="preserve">Imposed by railway authority, to be left to iinstall noise barriers
</t>
        </r>
      </text>
    </comment>
    <comment ref="B11" authorId="0" shapeId="0" xr:uid="{6F14BFAD-28D4-483A-ACE1-99C3A42C92A7}">
      <text>
        <r>
          <rPr>
            <sz val="9"/>
            <color indexed="81"/>
            <rFont val="Tahoma"/>
            <family val="2"/>
          </rPr>
          <t xml:space="preserve">Imposed by railway authority, Sleepers + Rail
</t>
        </r>
      </text>
    </comment>
    <comment ref="M15" authorId="0" shapeId="0" xr:uid="{174D478F-B041-4FA7-86FF-85B6B95F6AFE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T15" authorId="0" shapeId="0" xr:uid="{0C29196C-9EAE-4490-9E6F-F0B443E1F24E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AA15" authorId="0" shapeId="0" xr:uid="{6A1AFC46-1096-4880-827B-C561827A6D4F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AH15" authorId="0" shapeId="0" xr:uid="{6BDEA8E3-5573-4D29-A2FC-5B21E9CA9190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J16" authorId="0" shapeId="0" xr:uid="{8C3815D4-3B47-4CCB-9FE3-3B0441A096D1}">
      <text>
        <r>
          <rPr>
            <sz val="9"/>
            <color indexed="81"/>
            <rFont val="Tahoma"/>
            <family val="2"/>
          </rPr>
          <t xml:space="preserve">In transverse direction
</t>
        </r>
      </text>
    </comment>
    <comment ref="Q16" authorId="0" shapeId="0" xr:uid="{9EEE7FAF-9D5D-431A-B3BD-89E5DC76A665}">
      <text>
        <r>
          <rPr>
            <sz val="9"/>
            <color indexed="81"/>
            <rFont val="Tahoma"/>
            <family val="2"/>
          </rPr>
          <t xml:space="preserve">In transverse direction
</t>
        </r>
      </text>
    </comment>
    <comment ref="X16" authorId="0" shapeId="0" xr:uid="{D1D07599-BE5D-4925-A236-554E36F19B9A}">
      <text>
        <r>
          <rPr>
            <sz val="9"/>
            <color indexed="81"/>
            <rFont val="Tahoma"/>
            <family val="2"/>
          </rPr>
          <t xml:space="preserve">In transverse direction
</t>
        </r>
      </text>
    </comment>
    <comment ref="AE16" authorId="0" shapeId="0" xr:uid="{55D29EDA-04DB-4AD9-8A20-A02AF15C7578}">
      <text>
        <r>
          <rPr>
            <sz val="9"/>
            <color indexed="81"/>
            <rFont val="Tahoma"/>
            <family val="2"/>
          </rPr>
          <t xml:space="preserve">In transverse direction
</t>
        </r>
      </text>
    </comment>
    <comment ref="M17" authorId="0" shapeId="0" xr:uid="{ABE3FB0A-831E-46A9-9463-42CE59F15A16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T17" authorId="0" shapeId="0" xr:uid="{8C771343-897F-4C44-B55C-C4CF214874CD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AA17" authorId="0" shapeId="0" xr:uid="{8D3103C6-A34C-4AD6-B27A-224D08633129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AH17" authorId="0" shapeId="0" xr:uid="{97EC4CFE-E5E5-4C1A-A55D-CDF3B1F3776C}">
      <text>
        <r>
          <rPr>
            <sz val="9"/>
            <color indexed="81"/>
            <rFont val="Tahoma"/>
            <family val="2"/>
          </rPr>
          <t>b</t>
        </r>
        <r>
          <rPr>
            <sz val="6"/>
            <color indexed="81"/>
            <rFont val="Tahoma"/>
            <family val="2"/>
          </rPr>
          <t>e</t>
        </r>
        <r>
          <rPr>
            <sz val="9"/>
            <color indexed="81"/>
            <rFont val="Tahoma"/>
            <family val="2"/>
          </rPr>
          <t xml:space="preserve"> = b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+ 2(b</t>
        </r>
        <r>
          <rPr>
            <sz val="6"/>
            <color indexed="81"/>
            <rFont val="Tahoma"/>
            <family val="2"/>
          </rPr>
          <t>lt</t>
        </r>
        <r>
          <rPr>
            <sz val="9"/>
            <color indexed="81"/>
            <rFont val="Tahoma"/>
            <family val="2"/>
          </rPr>
          <t>)
where, 
b</t>
        </r>
        <r>
          <rPr>
            <sz val="6"/>
            <color indexed="81"/>
            <rFont val="Tahoma"/>
            <family val="2"/>
          </rPr>
          <t>i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>= Internal width
b</t>
        </r>
        <r>
          <rPr>
            <sz val="6"/>
            <color indexed="81"/>
            <rFont val="Tahoma"/>
            <family val="2"/>
          </rPr>
          <t>lt</t>
        </r>
        <r>
          <rPr>
            <sz val="8"/>
            <color indexed="81"/>
            <rFont val="Tahoma"/>
            <family val="2"/>
          </rPr>
          <t xml:space="preserve"> =</t>
        </r>
        <r>
          <rPr>
            <sz val="9"/>
            <color indexed="81"/>
            <rFont val="Tahoma"/>
            <family val="2"/>
          </rPr>
          <t xml:space="preserve"> Thickness in transverse direction of the lateral trusses</t>
        </r>
      </text>
    </comment>
    <comment ref="X20" authorId="0" shapeId="0" xr:uid="{2C13497E-194B-4943-AD7F-9842E2B5E127}">
      <text>
        <r>
          <rPr>
            <sz val="9"/>
            <color indexed="81"/>
            <rFont val="Tahoma"/>
            <family val="2"/>
          </rPr>
          <t xml:space="preserve">According to 8.3.1, EN 1991-1-4, Pag 85.
</t>
        </r>
      </text>
    </comment>
    <comment ref="M23" authorId="0" shapeId="0" xr:uid="{C169FADD-A01B-4CFB-B293-8E5157328B7F}">
      <text>
        <r>
          <rPr>
            <sz val="9"/>
            <color indexed="81"/>
            <rFont val="Tahoma"/>
            <family val="2"/>
          </rPr>
          <t>de = d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>rk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 xml:space="preserve">top + </t>
        </r>
        <r>
          <rPr>
            <sz val="9"/>
            <color indexed="81"/>
            <rFont val="Tahoma"/>
            <family val="2"/>
          </rPr>
          <t>d</t>
        </r>
        <r>
          <rPr>
            <sz val="6"/>
            <color indexed="81"/>
            <rFont val="Tahoma"/>
            <family val="2"/>
          </rPr>
          <t xml:space="preserve">bot </t>
        </r>
        <r>
          <rPr>
            <sz val="9"/>
            <color indexed="81"/>
            <rFont val="Tahoma"/>
            <family val="2"/>
          </rPr>
          <t xml:space="preserve">
where, 
d</t>
        </r>
        <r>
          <rPr>
            <sz val="6"/>
            <color indexed="81"/>
            <rFont val="Tahoma"/>
            <family val="2"/>
          </rPr>
          <t xml:space="preserve">i </t>
        </r>
        <r>
          <rPr>
            <sz val="9"/>
            <color indexed="81"/>
            <rFont val="Tahoma"/>
            <family val="2"/>
          </rPr>
          <t>= Internal depth
d</t>
        </r>
        <r>
          <rPr>
            <sz val="6"/>
            <color indexed="81"/>
            <rFont val="Tahoma"/>
            <family val="2"/>
          </rPr>
          <t xml:space="preserve">rk </t>
        </r>
        <r>
          <rPr>
            <sz val="9"/>
            <color indexed="81"/>
            <rFont val="Tahoma"/>
            <family val="2"/>
          </rPr>
          <t>= track depth
d</t>
        </r>
        <r>
          <rPr>
            <sz val="6"/>
            <color indexed="81"/>
            <rFont val="Tahoma"/>
            <family val="2"/>
          </rPr>
          <t xml:space="preserve">top </t>
        </r>
        <r>
          <rPr>
            <sz val="9"/>
            <color indexed="81"/>
            <rFont val="Tahoma"/>
            <family val="2"/>
          </rPr>
          <t>= top deck truss system
d</t>
        </r>
        <r>
          <rPr>
            <sz val="6"/>
            <color indexed="81"/>
            <rFont val="Tahoma"/>
            <family val="2"/>
          </rPr>
          <t>bot</t>
        </r>
        <r>
          <rPr>
            <sz val="9"/>
            <color indexed="81"/>
            <rFont val="Tahoma"/>
            <family val="2"/>
          </rPr>
          <t xml:space="preserve"> = bottom deck truss system</t>
        </r>
      </text>
    </comment>
    <comment ref="T23" authorId="0" shapeId="0" xr:uid="{FA68DE82-952E-4607-8355-AE2A6A28E19C}">
      <text>
        <r>
          <rPr>
            <sz val="9"/>
            <color indexed="81"/>
            <rFont val="Tahoma"/>
            <family val="2"/>
          </rPr>
          <t>de = d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>rk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 xml:space="preserve">top + </t>
        </r>
        <r>
          <rPr>
            <sz val="9"/>
            <color indexed="81"/>
            <rFont val="Tahoma"/>
            <family val="2"/>
          </rPr>
          <t>d</t>
        </r>
        <r>
          <rPr>
            <sz val="6"/>
            <color indexed="81"/>
            <rFont val="Tahoma"/>
            <family val="2"/>
          </rPr>
          <t xml:space="preserve">bot </t>
        </r>
        <r>
          <rPr>
            <sz val="9"/>
            <color indexed="81"/>
            <rFont val="Tahoma"/>
            <family val="2"/>
          </rPr>
          <t xml:space="preserve">
where, 
d</t>
        </r>
        <r>
          <rPr>
            <sz val="6"/>
            <color indexed="81"/>
            <rFont val="Tahoma"/>
            <family val="2"/>
          </rPr>
          <t xml:space="preserve">i </t>
        </r>
        <r>
          <rPr>
            <sz val="9"/>
            <color indexed="81"/>
            <rFont val="Tahoma"/>
            <family val="2"/>
          </rPr>
          <t>= Internal depth
d</t>
        </r>
        <r>
          <rPr>
            <sz val="6"/>
            <color indexed="81"/>
            <rFont val="Tahoma"/>
            <family val="2"/>
          </rPr>
          <t xml:space="preserve">rk </t>
        </r>
        <r>
          <rPr>
            <sz val="9"/>
            <color indexed="81"/>
            <rFont val="Tahoma"/>
            <family val="2"/>
          </rPr>
          <t>= track depth
d</t>
        </r>
        <r>
          <rPr>
            <sz val="6"/>
            <color indexed="81"/>
            <rFont val="Tahoma"/>
            <family val="2"/>
          </rPr>
          <t xml:space="preserve">top </t>
        </r>
        <r>
          <rPr>
            <sz val="9"/>
            <color indexed="81"/>
            <rFont val="Tahoma"/>
            <family val="2"/>
          </rPr>
          <t>= top deck truss system
d</t>
        </r>
        <r>
          <rPr>
            <sz val="6"/>
            <color indexed="81"/>
            <rFont val="Tahoma"/>
            <family val="2"/>
          </rPr>
          <t>bot</t>
        </r>
        <r>
          <rPr>
            <sz val="9"/>
            <color indexed="81"/>
            <rFont val="Tahoma"/>
            <family val="2"/>
          </rPr>
          <t xml:space="preserve"> = bottom deck truss system</t>
        </r>
      </text>
    </comment>
    <comment ref="AH23" authorId="0" shapeId="0" xr:uid="{25FDC78A-5BCC-4159-89DD-5C5A88255507}">
      <text>
        <r>
          <rPr>
            <sz val="9"/>
            <color indexed="81"/>
            <rFont val="Tahoma"/>
            <family val="2"/>
          </rPr>
          <t>de = d</t>
        </r>
        <r>
          <rPr>
            <sz val="6"/>
            <color indexed="81"/>
            <rFont val="Tahoma"/>
            <family val="2"/>
          </rPr>
          <t>i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>rk</t>
        </r>
        <r>
          <rPr>
            <sz val="9"/>
            <color indexed="81"/>
            <rFont val="Tahoma"/>
            <family val="2"/>
          </rPr>
          <t xml:space="preserve"> + d</t>
        </r>
        <r>
          <rPr>
            <sz val="6"/>
            <color indexed="81"/>
            <rFont val="Tahoma"/>
            <family val="2"/>
          </rPr>
          <t xml:space="preserve">top + </t>
        </r>
        <r>
          <rPr>
            <sz val="9"/>
            <color indexed="81"/>
            <rFont val="Tahoma"/>
            <family val="2"/>
          </rPr>
          <t>d</t>
        </r>
        <r>
          <rPr>
            <sz val="6"/>
            <color indexed="81"/>
            <rFont val="Tahoma"/>
            <family val="2"/>
          </rPr>
          <t xml:space="preserve">bot </t>
        </r>
        <r>
          <rPr>
            <sz val="9"/>
            <color indexed="81"/>
            <rFont val="Tahoma"/>
            <family val="2"/>
          </rPr>
          <t xml:space="preserve">
where, 
d</t>
        </r>
        <r>
          <rPr>
            <sz val="6"/>
            <color indexed="81"/>
            <rFont val="Tahoma"/>
            <family val="2"/>
          </rPr>
          <t xml:space="preserve">i </t>
        </r>
        <r>
          <rPr>
            <sz val="9"/>
            <color indexed="81"/>
            <rFont val="Tahoma"/>
            <family val="2"/>
          </rPr>
          <t>= Internal depth
d</t>
        </r>
        <r>
          <rPr>
            <sz val="6"/>
            <color indexed="81"/>
            <rFont val="Tahoma"/>
            <family val="2"/>
          </rPr>
          <t xml:space="preserve">rk </t>
        </r>
        <r>
          <rPr>
            <sz val="9"/>
            <color indexed="81"/>
            <rFont val="Tahoma"/>
            <family val="2"/>
          </rPr>
          <t>= track depth
d</t>
        </r>
        <r>
          <rPr>
            <sz val="6"/>
            <color indexed="81"/>
            <rFont val="Tahoma"/>
            <family val="2"/>
          </rPr>
          <t xml:space="preserve">top </t>
        </r>
        <r>
          <rPr>
            <sz val="9"/>
            <color indexed="81"/>
            <rFont val="Tahoma"/>
            <family val="2"/>
          </rPr>
          <t>= top deck truss system
d</t>
        </r>
        <r>
          <rPr>
            <sz val="6"/>
            <color indexed="81"/>
            <rFont val="Tahoma"/>
            <family val="2"/>
          </rPr>
          <t>bot</t>
        </r>
        <r>
          <rPr>
            <sz val="9"/>
            <color indexed="81"/>
            <rFont val="Tahoma"/>
            <family val="2"/>
          </rPr>
          <t xml:space="preserve"> = bottom deck truss system</t>
        </r>
      </text>
    </comment>
    <comment ref="J25" authorId="0" shapeId="0" xr:uid="{885A84FB-76C3-473C-8E44-4EA09A05128F}">
      <text>
        <r>
          <rPr>
            <sz val="9"/>
            <color indexed="81"/>
            <rFont val="Tahoma"/>
            <family val="2"/>
          </rPr>
          <t xml:space="preserve">According to 8.3.1, EN 1991-1-4, Pag 85.
</t>
        </r>
      </text>
    </comment>
    <comment ref="Q25" authorId="0" shapeId="0" xr:uid="{211F4860-6A68-496E-AB7F-2A6260C6077C}">
      <text>
        <r>
          <rPr>
            <sz val="9"/>
            <color indexed="81"/>
            <rFont val="Tahoma"/>
            <family val="2"/>
          </rPr>
          <t xml:space="preserve">According to 8.3.1, EN 1991-1-4, Pag 85.
</t>
        </r>
      </text>
    </comment>
    <comment ref="AE25" authorId="0" shapeId="0" xr:uid="{53FA4E13-D964-4033-99AE-8A074FE71BFB}">
      <text>
        <r>
          <rPr>
            <sz val="9"/>
            <color indexed="81"/>
            <rFont val="Tahoma"/>
            <family val="2"/>
          </rPr>
          <t xml:space="preserve">According to 8.3.1, EN 1991-1-4, Pag 85.
</t>
        </r>
      </text>
    </comment>
    <comment ref="B28" authorId="0" shapeId="0" xr:uid="{A7248D31-6356-4C42-BDF4-83D35CFC7711}">
      <text>
        <r>
          <rPr>
            <sz val="9"/>
            <color indexed="81"/>
            <rFont val="Tahoma"/>
            <family val="2"/>
          </rPr>
          <t>Expression 4.10, NOTE 2, Pag. 22</t>
        </r>
      </text>
    </comment>
    <comment ref="B29" authorId="0" shapeId="0" xr:uid="{68B6B671-FCF3-4D07-A0D4-311C8E937EBD}">
      <text>
        <r>
          <rPr>
            <sz val="9"/>
            <color indexed="81"/>
            <rFont val="Tahoma"/>
            <family val="2"/>
          </rPr>
          <t>Expression 4.10 EN 1991-1-4, Pag 22</t>
        </r>
      </text>
    </comment>
    <comment ref="B37" authorId="0" shapeId="0" xr:uid="{F11F18AC-E754-466A-B17A-AA545A187E9C}">
      <text>
        <r>
          <rPr>
            <sz val="9"/>
            <color indexed="81"/>
            <rFont val="Tahoma"/>
            <family val="2"/>
          </rPr>
          <t>3.3.7 2018_DM, pag.42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J41" authorId="0" shapeId="0" xr:uid="{520DF233-C9CE-47D2-A999-F9B27E433BDC}">
      <text>
        <r>
          <rPr>
            <sz val="9"/>
            <color indexed="81"/>
            <rFont val="Tahoma"/>
            <family val="2"/>
          </rPr>
          <t xml:space="preserve">Imposed by the railway authority
</t>
        </r>
      </text>
    </comment>
    <comment ref="B42" authorId="0" shapeId="0" xr:uid="{9C3EA71C-3B6B-48AE-B39F-24B3755F9ACB}">
      <text>
        <r>
          <rPr>
            <sz val="9"/>
            <color indexed="81"/>
            <rFont val="Tahoma"/>
            <family val="2"/>
          </rPr>
          <t xml:space="preserve">According to 8.3.3, EN 1991-1-4, Pag 91
</t>
        </r>
      </text>
    </comment>
    <comment ref="B43" authorId="0" shapeId="0" xr:uid="{37E50B37-0AED-4FA3-BC0F-375657A2FD3E}">
      <text>
        <r>
          <rPr>
            <sz val="9"/>
            <color indexed="81"/>
            <rFont val="Tahoma"/>
            <family val="2"/>
          </rPr>
          <t xml:space="preserve">According to 8.3.3, EN 1991-1-4, Pag 91
</t>
        </r>
      </text>
    </comment>
    <comment ref="Q49" authorId="0" shapeId="0" xr:uid="{9EF89245-3956-41BB-BF27-6538FF1281A5}">
      <text>
        <r>
          <rPr>
            <sz val="9"/>
            <color indexed="81"/>
            <rFont val="Tahoma"/>
            <family val="2"/>
          </rPr>
          <t xml:space="preserve">Imposed by the railway authority
</t>
        </r>
      </text>
    </comment>
    <comment ref="AC63" authorId="1" shapeId="0" xr:uid="{E747D82A-EFD0-4C72-BBBE-399F8B0F1471}">
      <text>
        <t>[Threaded comment]
Your version of Excel allows you to read this threaded comment; however, any edits to it will get removed if the file is opened in a newer version of Excel. Learn more: https://go.microsoft.com/fwlink/?linkid=870924
Comment:
    Revisar por cambio de dimension, este valor puede variar en la optimización</t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39D18ED-9F01-41B9-8ED6-76CF0337DDE9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7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  <bk>
      <extLst>
        <ext uri="{3e2802c4-a4d2-4d8b-9148-e3be6c30e623}">
          <xlrd:rvb i="4"/>
        </ext>
      </extLst>
    </bk>
    <bk>
      <extLst>
        <ext uri="{3e2802c4-a4d2-4d8b-9148-e3be6c30e623}">
          <xlrd:rvb i="5"/>
        </ext>
      </extLst>
    </bk>
    <bk>
      <extLst>
        <ext uri="{3e2802c4-a4d2-4d8b-9148-e3be6c30e623}">
          <xlrd:rvb i="6"/>
        </ext>
      </extLst>
    </bk>
  </futureMetadata>
  <valueMetadata count="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</valueMetadata>
</metadata>
</file>

<file path=xl/sharedStrings.xml><?xml version="1.0" encoding="utf-8"?>
<sst xmlns="http://schemas.openxmlformats.org/spreadsheetml/2006/main" count="658" uniqueCount="324">
  <si>
    <t>GENERAL PARAMETERS</t>
  </si>
  <si>
    <t>Zone</t>
  </si>
  <si>
    <t>Location</t>
  </si>
  <si>
    <t>Terrain category</t>
  </si>
  <si>
    <t>Roughness factor</t>
  </si>
  <si>
    <r>
      <t>C</t>
    </r>
    <r>
      <rPr>
        <vertAlign val="subscript"/>
        <sz val="11"/>
        <color theme="1"/>
        <rFont val="Swis721 LtCn BT"/>
        <family val="2"/>
      </rPr>
      <t>r</t>
    </r>
    <r>
      <rPr>
        <sz val="11"/>
        <color theme="1"/>
        <rFont val="Swis721 LtCn BT"/>
        <family val="2"/>
        <charset val="1"/>
      </rPr>
      <t>(Z)</t>
    </r>
  </si>
  <si>
    <t>Altitude above sea level</t>
  </si>
  <si>
    <t>C</t>
  </si>
  <si>
    <t>III</t>
  </si>
  <si>
    <t>Tab 3.3 III Classi di rugosità del terreno</t>
  </si>
  <si>
    <t>Classe di rugosità del terreno</t>
  </si>
  <si>
    <t>Descrizione</t>
  </si>
  <si>
    <t>A</t>
  </si>
  <si>
    <t>B</t>
  </si>
  <si>
    <t>D</t>
  </si>
  <si>
    <t>Aree urbane in cui almeno il 15% della superficie sia coperto da edifici la cui altezza media superi i 15 m</t>
  </si>
  <si>
    <t>Aree urbane (non di classe A), suburbane, industriali e boschive</t>
  </si>
  <si>
    <t>Aree con ostacoli diffusi (alberi, case, muri, recinzioni,....); aree con rugosità non riconducibile alle classi A, B, D</t>
  </si>
  <si>
    <t>a) Mare e relativa fascia costiera (entro 2 km dalla costa);
b) Lago (con larghezza massima pari ad almeno 1 km) e relativa fascia costiera (entro 1 km dalla costa)
c) Aree prive di ostacoli o con al più rari ostacoli isolati (aperta campagna, aeroporti, aree agricole, pascoli, zone paludose o sabbiose, superfici innevate o ghiacciate, ....</t>
  </si>
  <si>
    <r>
      <t>Tab 3.3.I - Valori dei parametri v</t>
    </r>
    <r>
      <rPr>
        <b/>
        <vertAlign val="subscript"/>
        <sz val="11"/>
        <color theme="1"/>
        <rFont val="Swis721 LtCn BT"/>
        <family val="2"/>
      </rPr>
      <t>b,0</t>
    </r>
    <r>
      <rPr>
        <b/>
        <sz val="11"/>
        <color theme="1"/>
        <rFont val="Swis721 LtCn BT"/>
        <family val="2"/>
      </rPr>
      <t xml:space="preserve"> , a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>, k</t>
    </r>
    <r>
      <rPr>
        <b/>
        <vertAlign val="subscript"/>
        <sz val="11"/>
        <color theme="1"/>
        <rFont val="Swis721 LtCn BT"/>
        <family val="2"/>
      </rPr>
      <t>s</t>
    </r>
  </si>
  <si>
    <t>Zona</t>
  </si>
  <si>
    <t>Valle d’Aosta, Piemonte, Lombardia, Trentino Alto Adige,Veneto, Friuli Venezia Giulia (con l’eccezione della pro-vincia di Trieste)</t>
  </si>
  <si>
    <t xml:space="preserve">Emilia Romagna </t>
  </si>
  <si>
    <t>Toscana, Marche, Umbria, Lazio, Abruzzo, Molise, Puglia,Campania, Basilicata, Calabria (esclusa la provincia di Reggio Calabria)</t>
  </si>
  <si>
    <t>Sicilia e provincia di Reggio Calabria</t>
  </si>
  <si>
    <t>Sardegna (zona a oriente della retta congiungente Capo Teulada con l’Isola di Maddalena</t>
  </si>
  <si>
    <t>Sardegna (zona a occidente della retta congiungente Capo Teulada con l’Isola di Maddalena)</t>
  </si>
  <si>
    <t>Liguria</t>
  </si>
  <si>
    <t xml:space="preserve">Provincia di Trieste </t>
  </si>
  <si>
    <t>Isole (con l’eccezione di Sicilia e Sardegna) e mare aperto</t>
  </si>
  <si>
    <r>
      <t>v</t>
    </r>
    <r>
      <rPr>
        <b/>
        <vertAlign val="subscript"/>
        <sz val="11"/>
        <color theme="1"/>
        <rFont val="Swis721 LtCn BT"/>
        <family val="2"/>
      </rPr>
      <t>b,0</t>
    </r>
    <r>
      <rPr>
        <b/>
        <sz val="11"/>
        <color theme="1"/>
        <rFont val="Swis721 LtCn BT"/>
        <family val="2"/>
      </rPr>
      <t xml:space="preserve"> (m/s)</t>
    </r>
  </si>
  <si>
    <r>
      <t>a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 xml:space="preserve"> (m)</t>
    </r>
  </si>
  <si>
    <r>
      <t xml:space="preserve"> k</t>
    </r>
    <r>
      <rPr>
        <b/>
        <vertAlign val="subscript"/>
        <sz val="11"/>
        <color theme="1"/>
        <rFont val="Swis721 LtCn BT"/>
        <family val="2"/>
      </rPr>
      <t>s</t>
    </r>
  </si>
  <si>
    <r>
      <rPr>
        <sz val="11"/>
        <color theme="1"/>
        <rFont val="Swis721 LtCn BT"/>
        <family val="2"/>
      </rPr>
      <t xml:space="preserve"> k</t>
    </r>
    <r>
      <rPr>
        <vertAlign val="subscript"/>
        <sz val="11"/>
        <color theme="1"/>
        <rFont val="Swis721 LtCn BT"/>
        <family val="2"/>
      </rPr>
      <t>s</t>
    </r>
  </si>
  <si>
    <t>[m/s]</t>
  </si>
  <si>
    <t>[m]</t>
  </si>
  <si>
    <r>
      <t>a</t>
    </r>
    <r>
      <rPr>
        <vertAlign val="subscript"/>
        <sz val="11"/>
        <color theme="1"/>
        <rFont val="Swis721 LtCn BT"/>
        <family val="2"/>
      </rPr>
      <t xml:space="preserve">s </t>
    </r>
  </si>
  <si>
    <r>
      <t>v</t>
    </r>
    <r>
      <rPr>
        <vertAlign val="subscript"/>
        <sz val="11"/>
        <color theme="1"/>
        <rFont val="Swis721 LtCn BT"/>
        <family val="2"/>
      </rPr>
      <t>b,0</t>
    </r>
  </si>
  <si>
    <r>
      <t>a</t>
    </r>
    <r>
      <rPr>
        <vertAlign val="subscript"/>
        <sz val="11"/>
        <color theme="1"/>
        <rFont val="Swis721 LtCn BT"/>
        <family val="2"/>
      </rPr>
      <t>0</t>
    </r>
    <r>
      <rPr>
        <sz val="11"/>
        <color theme="1"/>
        <rFont val="Swis721 LtCn BT"/>
        <family val="2"/>
      </rPr>
      <t xml:space="preserve"> </t>
    </r>
  </si>
  <si>
    <t>Basic wind velocity</t>
  </si>
  <si>
    <t>[-]</t>
  </si>
  <si>
    <t>Altitude factor</t>
  </si>
  <si>
    <r>
      <t>C</t>
    </r>
    <r>
      <rPr>
        <vertAlign val="subscript"/>
        <sz val="11"/>
        <color theme="1"/>
        <rFont val="Swis721 LtCn BT"/>
        <family val="2"/>
      </rPr>
      <t>alt</t>
    </r>
  </si>
  <si>
    <t>Fundamental basic wind velocity</t>
  </si>
  <si>
    <r>
      <t>v</t>
    </r>
    <r>
      <rPr>
        <vertAlign val="subscript"/>
        <sz val="11"/>
        <color theme="1"/>
        <rFont val="Swis721 LtCn BT"/>
        <family val="2"/>
      </rPr>
      <t>b</t>
    </r>
  </si>
  <si>
    <t>Period</t>
  </si>
  <si>
    <r>
      <t>T</t>
    </r>
    <r>
      <rPr>
        <vertAlign val="subscript"/>
        <sz val="11"/>
        <color theme="1"/>
        <rFont val="Swis721 LtCn BT"/>
        <family val="2"/>
      </rPr>
      <t>R</t>
    </r>
  </si>
  <si>
    <r>
      <t>C</t>
    </r>
    <r>
      <rPr>
        <vertAlign val="subscript"/>
        <sz val="11"/>
        <color theme="1"/>
        <rFont val="Swis721 LtCn BT"/>
        <family val="2"/>
      </rPr>
      <t>r</t>
    </r>
  </si>
  <si>
    <r>
      <t>v</t>
    </r>
    <r>
      <rPr>
        <vertAlign val="subscript"/>
        <sz val="11"/>
        <color theme="1"/>
        <rFont val="Swis721 LtCn BT"/>
        <family val="2"/>
      </rPr>
      <t>r</t>
    </r>
  </si>
  <si>
    <t>Wind density</t>
  </si>
  <si>
    <t>ρ</t>
  </si>
  <si>
    <r>
      <t>[kg/m</t>
    </r>
    <r>
      <rPr>
        <vertAlign val="superscript"/>
        <sz val="11"/>
        <color theme="1"/>
        <rFont val="Swis721 LtCn BT"/>
        <family val="2"/>
      </rPr>
      <t>3</t>
    </r>
    <r>
      <rPr>
        <sz val="11"/>
        <color theme="1"/>
        <rFont val="Swis721 LtCn BT"/>
        <family val="2"/>
        <charset val="1"/>
      </rPr>
      <t>]</t>
    </r>
  </si>
  <si>
    <r>
      <t>[kN/m</t>
    </r>
    <r>
      <rPr>
        <vertAlign val="superscript"/>
        <sz val="11"/>
        <color theme="1"/>
        <rFont val="Swis721 LtCn BT"/>
        <family val="2"/>
      </rPr>
      <t>2</t>
    </r>
    <r>
      <rPr>
        <sz val="11"/>
        <color theme="1"/>
        <rFont val="Swis721 LtCn BT"/>
        <family val="2"/>
        <charset val="1"/>
      </rPr>
      <t>]</t>
    </r>
  </si>
  <si>
    <t>Tab 3.3.II - Parametri per la definizione del coefficiente di esposizione</t>
  </si>
  <si>
    <t>Categoria di esposizione del sito</t>
  </si>
  <si>
    <r>
      <t>K</t>
    </r>
    <r>
      <rPr>
        <b/>
        <vertAlign val="subscript"/>
        <sz val="11"/>
        <color theme="1"/>
        <rFont val="Swis721 LtCn BT"/>
        <family val="2"/>
      </rPr>
      <t>r</t>
    </r>
    <r>
      <rPr>
        <b/>
        <sz val="11"/>
        <color theme="1"/>
        <rFont val="Swis721 LtCn BT"/>
        <family val="2"/>
      </rPr>
      <t xml:space="preserve"> </t>
    </r>
  </si>
  <si>
    <r>
      <t>z</t>
    </r>
    <r>
      <rPr>
        <b/>
        <vertAlign val="subscript"/>
        <sz val="11"/>
        <color theme="1"/>
        <rFont val="Swis721 LtCn BT"/>
        <family val="2"/>
      </rPr>
      <t>0</t>
    </r>
    <r>
      <rPr>
        <b/>
        <sz val="11"/>
        <color theme="1"/>
        <rFont val="Swis721 LtCn BT"/>
        <family val="2"/>
      </rPr>
      <t xml:space="preserve"> (m)</t>
    </r>
  </si>
  <si>
    <r>
      <t>z</t>
    </r>
    <r>
      <rPr>
        <b/>
        <vertAlign val="subscript"/>
        <sz val="11"/>
        <color theme="1"/>
        <rFont val="Swis721 LtCn BT"/>
        <family val="2"/>
      </rPr>
      <t>min</t>
    </r>
    <r>
      <rPr>
        <b/>
        <sz val="11"/>
        <color theme="1"/>
        <rFont val="Swis721 LtCn BT"/>
        <family val="2"/>
      </rPr>
      <t xml:space="preserve"> (m)</t>
    </r>
  </si>
  <si>
    <t>I</t>
  </si>
  <si>
    <t>II</t>
  </si>
  <si>
    <t>IV</t>
  </si>
  <si>
    <t>V</t>
  </si>
  <si>
    <r>
      <t xml:space="preserve"> k</t>
    </r>
    <r>
      <rPr>
        <vertAlign val="subscript"/>
        <sz val="11"/>
        <color theme="1"/>
        <rFont val="Swis721 LtCn BT"/>
        <family val="2"/>
      </rPr>
      <t>r</t>
    </r>
  </si>
  <si>
    <r>
      <t>z</t>
    </r>
    <r>
      <rPr>
        <vertAlign val="subscript"/>
        <sz val="11"/>
        <color theme="1"/>
        <rFont val="Swis721 LtCn BT"/>
        <family val="2"/>
      </rPr>
      <t>0</t>
    </r>
  </si>
  <si>
    <r>
      <t>z</t>
    </r>
    <r>
      <rPr>
        <vertAlign val="subscript"/>
        <sz val="11"/>
        <color theme="1"/>
        <rFont val="Swis721 LtCn BT"/>
        <family val="2"/>
      </rPr>
      <t>min</t>
    </r>
  </si>
  <si>
    <r>
      <t>c</t>
    </r>
    <r>
      <rPr>
        <vertAlign val="subscript"/>
        <sz val="11"/>
        <color theme="1"/>
        <rFont val="Swis721 LtCn BT"/>
        <family val="2"/>
      </rPr>
      <t>T</t>
    </r>
  </si>
  <si>
    <t>Topographic Coeffcient</t>
  </si>
  <si>
    <t>WIND PRESSURE</t>
  </si>
  <si>
    <t>Exposure factor</t>
  </si>
  <si>
    <r>
      <t>q</t>
    </r>
    <r>
      <rPr>
        <vertAlign val="subscript"/>
        <sz val="11"/>
        <color theme="1"/>
        <rFont val="Swis721 LtCn BT"/>
        <family val="2"/>
      </rPr>
      <t>b</t>
    </r>
  </si>
  <si>
    <t>Basic velocity pressure</t>
  </si>
  <si>
    <t>Total height</t>
  </si>
  <si>
    <r>
      <t>z</t>
    </r>
    <r>
      <rPr>
        <vertAlign val="subscript"/>
        <sz val="11"/>
        <color theme="1"/>
        <rFont val="Swis721 LtCn BT"/>
        <family val="2"/>
      </rPr>
      <t>T</t>
    </r>
  </si>
  <si>
    <r>
      <t>C</t>
    </r>
    <r>
      <rPr>
        <vertAlign val="subscript"/>
        <sz val="11"/>
        <color theme="1"/>
        <rFont val="Swis721 LtCn BT"/>
        <family val="2"/>
      </rPr>
      <t>d</t>
    </r>
  </si>
  <si>
    <t>Dynamic factor</t>
  </si>
  <si>
    <t>Reference wind velocity</t>
  </si>
  <si>
    <t>Wind pressure</t>
  </si>
  <si>
    <t>[kN/m]</t>
  </si>
  <si>
    <r>
      <t>[m</t>
    </r>
    <r>
      <rPr>
        <vertAlign val="superscript"/>
        <sz val="11"/>
        <color theme="1"/>
        <rFont val="Swis721 LtCn BT"/>
        <family val="2"/>
      </rPr>
      <t>2</t>
    </r>
    <r>
      <rPr>
        <sz val="11"/>
        <color theme="1"/>
        <rFont val="Swis721 LtCn BT"/>
        <family val="2"/>
        <charset val="1"/>
      </rPr>
      <t>]</t>
    </r>
  </si>
  <si>
    <r>
      <t>c</t>
    </r>
    <r>
      <rPr>
        <vertAlign val="subscript"/>
        <sz val="11"/>
        <color theme="1"/>
        <rFont val="Swis721 LtCn BT"/>
        <family val="2"/>
      </rPr>
      <t>e</t>
    </r>
  </si>
  <si>
    <r>
      <t>C</t>
    </r>
    <r>
      <rPr>
        <vertAlign val="subscript"/>
        <sz val="11"/>
        <color theme="1"/>
        <rFont val="Swis721 LtCn BT"/>
        <family val="2"/>
      </rPr>
      <t>p</t>
    </r>
    <r>
      <rPr>
        <sz val="11"/>
        <color theme="1"/>
        <rFont val="Swis721 LtCn BT"/>
        <family val="2"/>
      </rPr>
      <t>=C</t>
    </r>
    <r>
      <rPr>
        <vertAlign val="subscript"/>
        <sz val="11"/>
        <color theme="1"/>
        <rFont val="Swis721 LtCn BT"/>
        <family val="2"/>
      </rPr>
      <t>f,x</t>
    </r>
  </si>
  <si>
    <t>Bridge Length</t>
  </si>
  <si>
    <r>
      <t>b</t>
    </r>
    <r>
      <rPr>
        <vertAlign val="subscript"/>
        <sz val="11"/>
        <color theme="1"/>
        <rFont val="Swis721 LtCn BT"/>
        <family val="2"/>
      </rPr>
      <t>e</t>
    </r>
  </si>
  <si>
    <t>L</t>
  </si>
  <si>
    <t>GEOMETRY</t>
  </si>
  <si>
    <t>Track height</t>
  </si>
  <si>
    <r>
      <t>h</t>
    </r>
    <r>
      <rPr>
        <vertAlign val="subscript"/>
        <sz val="11"/>
        <color theme="1"/>
        <rFont val="Swis721 LtCn BT"/>
        <family val="2"/>
      </rPr>
      <t>T</t>
    </r>
  </si>
  <si>
    <t>Gantry height</t>
  </si>
  <si>
    <t>INPUT DATA</t>
  </si>
  <si>
    <t>Torino</t>
  </si>
  <si>
    <t>Total Bridge height</t>
  </si>
  <si>
    <t>SI</t>
  </si>
  <si>
    <t>NO</t>
  </si>
  <si>
    <t>Noise barrier height</t>
  </si>
  <si>
    <r>
      <t>h</t>
    </r>
    <r>
      <rPr>
        <vertAlign val="subscript"/>
        <sz val="11"/>
        <color theme="1"/>
        <rFont val="Swis721 LtCn BT"/>
        <family val="2"/>
      </rPr>
      <t>3</t>
    </r>
  </si>
  <si>
    <t>External deck width</t>
  </si>
  <si>
    <t>External deck depth</t>
  </si>
  <si>
    <r>
      <t>d</t>
    </r>
    <r>
      <rPr>
        <vertAlign val="subscript"/>
        <sz val="11"/>
        <color theme="1"/>
        <rFont val="Swis721 LtCn BT"/>
        <family val="2"/>
      </rPr>
      <t>e</t>
    </r>
  </si>
  <si>
    <r>
      <t>d</t>
    </r>
    <r>
      <rPr>
        <vertAlign val="subscript"/>
        <sz val="11"/>
        <color theme="1"/>
        <rFont val="Swis721 LtCn BT"/>
        <family val="2"/>
      </rPr>
      <t>i</t>
    </r>
  </si>
  <si>
    <r>
      <t>d</t>
    </r>
    <r>
      <rPr>
        <vertAlign val="subscript"/>
        <sz val="11"/>
        <color theme="1"/>
        <rFont val="Swis721 LtCn BT"/>
        <family val="2"/>
      </rPr>
      <t>trk</t>
    </r>
  </si>
  <si>
    <r>
      <t>d</t>
    </r>
    <r>
      <rPr>
        <vertAlign val="subscript"/>
        <sz val="11"/>
        <color theme="1"/>
        <rFont val="Swis721 LtCn BT"/>
        <family val="2"/>
      </rPr>
      <t>top</t>
    </r>
  </si>
  <si>
    <r>
      <t>d</t>
    </r>
    <r>
      <rPr>
        <vertAlign val="subscript"/>
        <sz val="11"/>
        <color theme="1"/>
        <rFont val="Swis721 LtCn BT"/>
        <family val="2"/>
      </rPr>
      <t>bot</t>
    </r>
  </si>
  <si>
    <r>
      <t>b</t>
    </r>
    <r>
      <rPr>
        <vertAlign val="subscript"/>
        <sz val="11"/>
        <color theme="1"/>
        <rFont val="Swis721 LtCn BT"/>
        <family val="2"/>
      </rPr>
      <t>e</t>
    </r>
    <r>
      <rPr>
        <sz val="11"/>
        <color theme="1"/>
        <rFont val="Swis721 LtCn BT"/>
        <family val="2"/>
      </rPr>
      <t>/d</t>
    </r>
    <r>
      <rPr>
        <vertAlign val="subscript"/>
        <sz val="11"/>
        <color theme="1"/>
        <rFont val="Swis721 LtCn BT"/>
        <family val="2"/>
      </rPr>
      <t>e</t>
    </r>
  </si>
  <si>
    <r>
      <t>Table 8.1 - Depth to be used for A</t>
    </r>
    <r>
      <rPr>
        <b/>
        <vertAlign val="subscript"/>
        <sz val="11"/>
        <color theme="1"/>
        <rFont val="Swis721 LtCn BT"/>
        <family val="2"/>
      </rPr>
      <t>ref,x</t>
    </r>
  </si>
  <si>
    <t>Road restraint system</t>
  </si>
  <si>
    <t>Open parapet or open safety barrier</t>
  </si>
  <si>
    <t>Solid paraapet or solid safety barrier</t>
  </si>
  <si>
    <t>Open paraet and open safety barrier</t>
  </si>
  <si>
    <t>d + d1</t>
  </si>
  <si>
    <t>d + 0.6 m</t>
  </si>
  <si>
    <t>d+0.3 m</t>
  </si>
  <si>
    <t>d + 2d1</t>
  </si>
  <si>
    <t>d + 1.2 m</t>
  </si>
  <si>
    <t xml:space="preserve">On one side </t>
  </si>
  <si>
    <t>On both side</t>
  </si>
  <si>
    <t xml:space="preserve"> </t>
  </si>
  <si>
    <t>Upwind</t>
  </si>
  <si>
    <t>Downwind</t>
  </si>
  <si>
    <t>TOP</t>
  </si>
  <si>
    <r>
      <t>Q</t>
    </r>
    <r>
      <rPr>
        <vertAlign val="subscript"/>
        <sz val="11"/>
        <color theme="1"/>
        <rFont val="Swis721 LtCn BT"/>
        <family val="2"/>
      </rPr>
      <t>Top</t>
    </r>
  </si>
  <si>
    <t>Depth Top chord</t>
  </si>
  <si>
    <r>
      <t>d</t>
    </r>
    <r>
      <rPr>
        <vertAlign val="subscript"/>
        <sz val="11"/>
        <color theme="1"/>
        <rFont val="Swis721 LtCn BT"/>
        <family val="2"/>
      </rPr>
      <t>L,Top</t>
    </r>
  </si>
  <si>
    <t>Depth Bottom chord</t>
  </si>
  <si>
    <r>
      <t>d</t>
    </r>
    <r>
      <rPr>
        <vertAlign val="subscript"/>
        <sz val="11"/>
        <color theme="1"/>
        <rFont val="Swis721 LtCn BT"/>
        <family val="2"/>
      </rPr>
      <t>L,Bot</t>
    </r>
  </si>
  <si>
    <r>
      <t>Q</t>
    </r>
    <r>
      <rPr>
        <vertAlign val="subscript"/>
        <sz val="11"/>
        <color theme="1"/>
        <rFont val="Swis721 LtCn BT"/>
        <family val="2"/>
      </rPr>
      <t>Bot</t>
    </r>
  </si>
  <si>
    <r>
      <t>d</t>
    </r>
    <r>
      <rPr>
        <vertAlign val="subscript"/>
        <sz val="11"/>
        <color theme="1"/>
        <rFont val="Swis721 LtCn BT"/>
        <family val="2"/>
      </rPr>
      <t>L,Track</t>
    </r>
  </si>
  <si>
    <r>
      <t>Q</t>
    </r>
    <r>
      <rPr>
        <vertAlign val="subscript"/>
        <sz val="11"/>
        <color theme="1"/>
        <rFont val="Swis721 LtCn BT"/>
        <family val="2"/>
      </rPr>
      <t>L,G+T</t>
    </r>
  </si>
  <si>
    <t>Load</t>
  </si>
  <si>
    <r>
      <t>Q</t>
    </r>
    <r>
      <rPr>
        <vertAlign val="subscript"/>
        <sz val="11"/>
        <color theme="1"/>
        <rFont val="Swis721 LtCn BT"/>
        <family val="2"/>
      </rPr>
      <t>H,G+T</t>
    </r>
  </si>
  <si>
    <t>Application Distance</t>
  </si>
  <si>
    <r>
      <t>d</t>
    </r>
    <r>
      <rPr>
        <vertAlign val="subscript"/>
        <sz val="11"/>
        <color theme="1"/>
        <rFont val="Swis721 LtCn BT"/>
        <family val="2"/>
      </rPr>
      <t>L,G+T</t>
    </r>
  </si>
  <si>
    <t>Stringers depth</t>
  </si>
  <si>
    <r>
      <t>d</t>
    </r>
    <r>
      <rPr>
        <vertAlign val="subscript"/>
        <sz val="11"/>
        <color theme="1"/>
        <rFont val="Swis721 LtCn BT"/>
        <family val="2"/>
      </rPr>
      <t>L,String</t>
    </r>
  </si>
  <si>
    <t>Horizontal Load (Stringers)</t>
  </si>
  <si>
    <t>Vertical Load (Stringers)</t>
  </si>
  <si>
    <r>
      <t>Q</t>
    </r>
    <r>
      <rPr>
        <vertAlign val="subscript"/>
        <sz val="11"/>
        <color theme="1"/>
        <rFont val="Swis721 LtCn BT"/>
        <family val="2"/>
      </rPr>
      <t>V,G+T</t>
    </r>
  </si>
  <si>
    <t>Tss</t>
  </si>
  <si>
    <t>Type of line</t>
  </si>
  <si>
    <t>U Bridge x 25000V AC</t>
  </si>
  <si>
    <t>U Bridge x 3000V AC</t>
  </si>
  <si>
    <t>O Bridge x 25000V AC (Interal)</t>
  </si>
  <si>
    <t>O Bridge x 25000V AC (External)</t>
  </si>
  <si>
    <t>O Bridge x 3000V AC</t>
  </si>
  <si>
    <t>Gantry height (Recommended)</t>
  </si>
  <si>
    <r>
      <t>d</t>
    </r>
    <r>
      <rPr>
        <vertAlign val="subscript"/>
        <sz val="11"/>
        <color theme="1"/>
        <rFont val="Swis721 LtCn BT"/>
        <family val="2"/>
      </rPr>
      <t>g</t>
    </r>
  </si>
  <si>
    <t>Width of train gantry</t>
  </si>
  <si>
    <r>
      <t>G</t>
    </r>
    <r>
      <rPr>
        <vertAlign val="subscript"/>
        <sz val="11"/>
        <color theme="1"/>
        <rFont val="Swis721 LtCn BT"/>
        <family val="2"/>
      </rPr>
      <t>W</t>
    </r>
  </si>
  <si>
    <t>Internal deck width</t>
  </si>
  <si>
    <r>
      <t>b</t>
    </r>
    <r>
      <rPr>
        <vertAlign val="subscript"/>
        <sz val="11"/>
        <color theme="1"/>
        <rFont val="Swis721 LtCn BT"/>
        <family val="2"/>
      </rPr>
      <t>i</t>
    </r>
  </si>
  <si>
    <t>Thickness of lateral trusses</t>
  </si>
  <si>
    <t>Internal bridge height</t>
  </si>
  <si>
    <r>
      <t>N</t>
    </r>
    <r>
      <rPr>
        <vertAlign val="subscript"/>
        <sz val="11"/>
        <color theme="1"/>
        <rFont val="Swis721 LtCn BT"/>
        <family val="2"/>
      </rPr>
      <t>bw</t>
    </r>
  </si>
  <si>
    <t>Rail section</t>
  </si>
  <si>
    <t>46 E 1</t>
  </si>
  <si>
    <t>46 E 2</t>
  </si>
  <si>
    <t>46 E 3</t>
  </si>
  <si>
    <t>46 E 4</t>
  </si>
  <si>
    <t>49 E 1</t>
  </si>
  <si>
    <t>49 E 2</t>
  </si>
  <si>
    <t>49 E 3</t>
  </si>
  <si>
    <t>49 E 4</t>
  </si>
  <si>
    <t>50 E 1</t>
  </si>
  <si>
    <t>50 E 2</t>
  </si>
  <si>
    <t>50 E 3</t>
  </si>
  <si>
    <t>50 E 4</t>
  </si>
  <si>
    <t>50 E 5</t>
  </si>
  <si>
    <t>50 E 6</t>
  </si>
  <si>
    <t>52 E 1</t>
  </si>
  <si>
    <t>54 E 1</t>
  </si>
  <si>
    <t>54 E 2</t>
  </si>
  <si>
    <t>54 E 3</t>
  </si>
  <si>
    <t>55 E 1</t>
  </si>
  <si>
    <t>56 E 1</t>
  </si>
  <si>
    <t>60 E 1</t>
  </si>
  <si>
    <t>Profile</t>
  </si>
  <si>
    <t>Mass per meter (kg/m)</t>
  </si>
  <si>
    <r>
      <t>Cross-sectional area (cm</t>
    </r>
    <r>
      <rPr>
        <b/>
        <vertAlign val="superscript"/>
        <sz val="11"/>
        <color theme="1"/>
        <rFont val="Swis721 LtCn BT"/>
        <family val="2"/>
      </rPr>
      <t>2</t>
    </r>
    <r>
      <rPr>
        <b/>
        <sz val="11"/>
        <color theme="1"/>
        <rFont val="Swis721 LtCn BT"/>
        <family val="2"/>
      </rPr>
      <t>)</t>
    </r>
  </si>
  <si>
    <t>BOTTOM</t>
  </si>
  <si>
    <r>
      <t>C</t>
    </r>
    <r>
      <rPr>
        <vertAlign val="subscript"/>
        <sz val="11"/>
        <color theme="1"/>
        <rFont val="Swis721 LtCn BT"/>
        <family val="2"/>
      </rPr>
      <t>f,z</t>
    </r>
  </si>
  <si>
    <t>Lift force coeficient (NOTE 1)</t>
  </si>
  <si>
    <t xml:space="preserve">Lift force coeficient </t>
  </si>
  <si>
    <t>Average wind pressure</t>
  </si>
  <si>
    <r>
      <t>p</t>
    </r>
    <r>
      <rPr>
        <vertAlign val="subscript"/>
        <sz val="11"/>
        <color theme="1"/>
        <rFont val="Swis721 LtCn BT"/>
        <family val="2"/>
      </rPr>
      <t>z</t>
    </r>
  </si>
  <si>
    <t>UPLIFTING</t>
  </si>
  <si>
    <t>Up</t>
  </si>
  <si>
    <t>Down</t>
  </si>
  <si>
    <r>
      <t>p</t>
    </r>
    <r>
      <rPr>
        <vertAlign val="subscript"/>
        <sz val="11"/>
        <color theme="1"/>
        <rFont val="Swis721 LtCn BT"/>
        <family val="2"/>
      </rPr>
      <t>z,DW</t>
    </r>
  </si>
  <si>
    <r>
      <t>p</t>
    </r>
    <r>
      <rPr>
        <vertAlign val="subscript"/>
        <sz val="11"/>
        <color theme="1"/>
        <rFont val="Swis721 LtCn BT"/>
        <family val="2"/>
      </rPr>
      <t>z,UW</t>
    </r>
  </si>
  <si>
    <t>DOWNLIFTING</t>
  </si>
  <si>
    <t>TRANSVERSAL WIND PRESSURE (X DIRECTION)</t>
  </si>
  <si>
    <t xml:space="preserve"> VERTICAL DIRECTION (Z DIRECTION)</t>
  </si>
  <si>
    <t>Wind tunnel test ?</t>
  </si>
  <si>
    <t>Noise Barrier / Wind tunnel test</t>
  </si>
  <si>
    <r>
      <t>b</t>
    </r>
    <r>
      <rPr>
        <vertAlign val="subscript"/>
        <sz val="11"/>
        <color theme="1"/>
        <rFont val="Swis721 LtCn BT"/>
        <family val="2"/>
      </rPr>
      <t>Trusses</t>
    </r>
  </si>
  <si>
    <t>Horizontal Load</t>
  </si>
  <si>
    <r>
      <t>Q</t>
    </r>
    <r>
      <rPr>
        <vertAlign val="subscript"/>
        <sz val="11"/>
        <color theme="1"/>
        <rFont val="Swis721 LtCn BT"/>
        <family val="2"/>
      </rPr>
      <t>H</t>
    </r>
  </si>
  <si>
    <r>
      <t>Q</t>
    </r>
    <r>
      <rPr>
        <vertAlign val="subscript"/>
        <sz val="11"/>
        <color theme="1"/>
        <rFont val="Swis721 LtCn BT"/>
        <family val="2"/>
      </rPr>
      <t>L</t>
    </r>
  </si>
  <si>
    <t>Additional torsional moment</t>
  </si>
  <si>
    <r>
      <t>M</t>
    </r>
    <r>
      <rPr>
        <vertAlign val="subscript"/>
        <sz val="11"/>
        <color theme="1"/>
        <rFont val="Swis721 LtCn BT"/>
        <family val="2"/>
      </rPr>
      <t>t</t>
    </r>
  </si>
  <si>
    <t>[kN-m]</t>
  </si>
  <si>
    <t>Stringers Interasis</t>
  </si>
  <si>
    <r>
      <t>T</t>
    </r>
    <r>
      <rPr>
        <vertAlign val="subscript"/>
        <sz val="11"/>
        <color theme="1"/>
        <rFont val="Swis721 LtCn BT"/>
        <family val="2"/>
      </rPr>
      <t>st</t>
    </r>
  </si>
  <si>
    <t>Tranverse Beam Interasis</t>
  </si>
  <si>
    <t>DISTANCES</t>
  </si>
  <si>
    <t>D1</t>
  </si>
  <si>
    <t>D4</t>
  </si>
  <si>
    <t>D2</t>
  </si>
  <si>
    <t>D3</t>
  </si>
  <si>
    <t>D5</t>
  </si>
  <si>
    <t>Y POSITION</t>
  </si>
  <si>
    <t>Y1</t>
  </si>
  <si>
    <t>Y2</t>
  </si>
  <si>
    <t>Y3</t>
  </si>
  <si>
    <t>Y4</t>
  </si>
  <si>
    <t>Y5</t>
  </si>
  <si>
    <t>Y6</t>
  </si>
  <si>
    <t>L1</t>
  </si>
  <si>
    <t>L2</t>
  </si>
  <si>
    <t>L3</t>
  </si>
  <si>
    <t>L4</t>
  </si>
  <si>
    <t>L5</t>
  </si>
  <si>
    <t>L6</t>
  </si>
  <si>
    <t>m</t>
  </si>
  <si>
    <t>COEFFICIENT Y</t>
  </si>
  <si>
    <t>LIFTING</t>
  </si>
  <si>
    <t>C1</t>
  </si>
  <si>
    <t>C2</t>
  </si>
  <si>
    <t>C3</t>
  </si>
  <si>
    <t>C4</t>
  </si>
  <si>
    <t>C5</t>
  </si>
  <si>
    <t>C6</t>
  </si>
  <si>
    <t>CASE 1</t>
  </si>
  <si>
    <t>CASE 2</t>
  </si>
  <si>
    <t>Distance "Z" from the ground</t>
  </si>
  <si>
    <r>
      <t>z</t>
    </r>
    <r>
      <rPr>
        <vertAlign val="subscript"/>
        <sz val="11"/>
        <color theme="1"/>
        <rFont val="Swis721 LtCn BT"/>
        <family val="2"/>
      </rPr>
      <t>g</t>
    </r>
  </si>
  <si>
    <t>CASE 3</t>
  </si>
  <si>
    <t>C3.1</t>
  </si>
  <si>
    <t>C2.1</t>
  </si>
  <si>
    <t>C1.1</t>
  </si>
  <si>
    <t>CASE 4</t>
  </si>
  <si>
    <t>C4.1</t>
  </si>
  <si>
    <t>Pressure factor</t>
  </si>
  <si>
    <t>C1.2</t>
  </si>
  <si>
    <t>Load at Noise Barrier</t>
  </si>
  <si>
    <t>C2.2</t>
  </si>
  <si>
    <t>ON BOTTOM AND TOP CHORDS</t>
  </si>
  <si>
    <t>ON THE STRINGERS</t>
  </si>
  <si>
    <t>C1.3</t>
  </si>
  <si>
    <t>C2.3</t>
  </si>
  <si>
    <t>C4.2</t>
  </si>
  <si>
    <t>Transversal Beam height</t>
  </si>
  <si>
    <t>C3.2</t>
  </si>
  <si>
    <t>ON BOTTOM CHORD</t>
  </si>
  <si>
    <t>ON THE LATTICE</t>
  </si>
  <si>
    <t>C3.3</t>
  </si>
  <si>
    <t>Projected Area</t>
  </si>
  <si>
    <t>Enclosed Area</t>
  </si>
  <si>
    <r>
      <t>A</t>
    </r>
    <r>
      <rPr>
        <vertAlign val="subscript"/>
        <sz val="11"/>
        <color theme="1"/>
        <rFont val="Swis721 LtCn BT"/>
        <family val="2"/>
      </rPr>
      <t>c</t>
    </r>
  </si>
  <si>
    <r>
      <rPr>
        <sz val="11"/>
        <color theme="1"/>
        <rFont val="Swis721 LtCn BT"/>
        <family val="2"/>
      </rPr>
      <t>C</t>
    </r>
    <r>
      <rPr>
        <vertAlign val="subscript"/>
        <sz val="11"/>
        <color theme="1"/>
        <rFont val="Swis721 LtCn BT"/>
        <family val="2"/>
      </rPr>
      <t>f,0</t>
    </r>
  </si>
  <si>
    <t xml:space="preserve">Total Length </t>
  </si>
  <si>
    <t>Effective Slenderness</t>
  </si>
  <si>
    <t>l</t>
  </si>
  <si>
    <t>Case 1,2 and 3</t>
  </si>
  <si>
    <t>Case 4</t>
  </si>
  <si>
    <t>L &gt;50 m</t>
  </si>
  <si>
    <t>Total heigth</t>
  </si>
  <si>
    <t>b</t>
  </si>
  <si>
    <t>15&lt;L&lt;50</t>
  </si>
  <si>
    <t>L &lt;15m</t>
  </si>
  <si>
    <t>j</t>
  </si>
  <si>
    <t>Solidity Ratio</t>
  </si>
  <si>
    <r>
      <t xml:space="preserve">Table 7.16 Recommended values of </t>
    </r>
    <r>
      <rPr>
        <b/>
        <sz val="11"/>
        <color theme="1"/>
        <rFont val="Symbol"/>
        <family val="1"/>
        <charset val="2"/>
      </rPr>
      <t>l</t>
    </r>
    <r>
      <rPr>
        <b/>
        <sz val="7.7"/>
        <color theme="1"/>
        <rFont val="Swis721 LtCn BT"/>
        <family val="2"/>
      </rPr>
      <t xml:space="preserve"> </t>
    </r>
    <r>
      <rPr>
        <b/>
        <sz val="11"/>
        <color theme="1"/>
        <rFont val="Swis721 LtCn BT"/>
        <family val="2"/>
      </rPr>
      <t>for cylinders, polygonal, rectangular, sharp edge and lattice structures</t>
    </r>
  </si>
  <si>
    <t>Select CASE of analysis</t>
  </si>
  <si>
    <t>End effect factor (Min. value)</t>
  </si>
  <si>
    <t>End effect factor (Max. value)</t>
  </si>
  <si>
    <r>
      <rPr>
        <sz val="11"/>
        <color theme="1"/>
        <rFont val="Symbol"/>
        <family val="1"/>
        <charset val="2"/>
      </rPr>
      <t>y</t>
    </r>
    <r>
      <rPr>
        <vertAlign val="subscript"/>
        <sz val="11"/>
        <color theme="1"/>
        <rFont val="Symbol"/>
        <family val="1"/>
        <charset val="2"/>
      </rPr>
      <t>l</t>
    </r>
  </si>
  <si>
    <t>Force Coefficient (Max. value)</t>
  </si>
  <si>
    <t>Force Coefficient (Min. value)</t>
  </si>
  <si>
    <r>
      <rPr>
        <sz val="11"/>
        <color theme="1"/>
        <rFont val="Swis721 LtCn BT"/>
        <family val="2"/>
      </rPr>
      <t>C</t>
    </r>
    <r>
      <rPr>
        <vertAlign val="subscript"/>
        <sz val="11"/>
        <color theme="1"/>
        <rFont val="Swis721 LtCn BT"/>
        <family val="2"/>
      </rPr>
      <t>f</t>
    </r>
  </si>
  <si>
    <t>Force Coefficient (Critical value)</t>
  </si>
  <si>
    <t>COMB 1 (Max-Max)</t>
  </si>
  <si>
    <t>COMB 2 (Max-Min)</t>
  </si>
  <si>
    <t>COMB 3 (Max-Max)</t>
  </si>
  <si>
    <t>COMB 4 (Max-Min)</t>
  </si>
  <si>
    <t>LATTICE</t>
  </si>
  <si>
    <t>Truss Flange width</t>
  </si>
  <si>
    <t>p(z)</t>
  </si>
  <si>
    <r>
      <t>d</t>
    </r>
    <r>
      <rPr>
        <vertAlign val="subscript"/>
        <sz val="11"/>
        <color theme="1"/>
        <rFont val="Swis721 LtCn BT"/>
        <family val="2"/>
      </rPr>
      <t>L,trans</t>
    </r>
  </si>
  <si>
    <t>Tranverse Beam height</t>
  </si>
  <si>
    <r>
      <t>M</t>
    </r>
    <r>
      <rPr>
        <vertAlign val="subscript"/>
        <sz val="11"/>
        <color theme="1"/>
        <rFont val="Swis721 LtCn BT"/>
        <family val="2"/>
      </rPr>
      <t>t,NB</t>
    </r>
  </si>
  <si>
    <t>Pair of forces (Torsional Moment)</t>
  </si>
  <si>
    <r>
      <t>F</t>
    </r>
    <r>
      <rPr>
        <vertAlign val="subscript"/>
        <sz val="11"/>
        <color theme="1"/>
        <rFont val="Swis721 LtCn BT"/>
        <family val="2"/>
      </rPr>
      <t>t,NB</t>
    </r>
  </si>
  <si>
    <r>
      <t>d</t>
    </r>
    <r>
      <rPr>
        <vertAlign val="subscript"/>
        <sz val="11"/>
        <color theme="1"/>
        <rFont val="Swis721 LtCn BT"/>
        <family val="2"/>
      </rPr>
      <t>L,Bot(2)</t>
    </r>
  </si>
  <si>
    <r>
      <t>d</t>
    </r>
    <r>
      <rPr>
        <vertAlign val="subscript"/>
        <sz val="11"/>
        <color theme="1"/>
        <rFont val="Swis721 LtCn BT"/>
        <family val="2"/>
      </rPr>
      <t>L,M</t>
    </r>
  </si>
  <si>
    <t>Limit state</t>
  </si>
  <si>
    <t>SLU</t>
  </si>
  <si>
    <t>ag</t>
  </si>
  <si>
    <t>F0</t>
  </si>
  <si>
    <t>Tc*</t>
  </si>
  <si>
    <t>Ss</t>
  </si>
  <si>
    <t>q</t>
  </si>
  <si>
    <t>S</t>
  </si>
  <si>
    <t>n</t>
  </si>
  <si>
    <t>TB</t>
  </si>
  <si>
    <t>TD</t>
  </si>
  <si>
    <t>TC</t>
  </si>
  <si>
    <t>Spettro di risposta di progetto SLV orizzontale</t>
  </si>
  <si>
    <t>Spettro di risposta di progetto SLV verticale</t>
  </si>
  <si>
    <t>Fv</t>
  </si>
  <si>
    <t>Free width (minimum)</t>
  </si>
  <si>
    <t>HEA</t>
  </si>
  <si>
    <t>HEB</t>
  </si>
  <si>
    <t>HEM</t>
  </si>
  <si>
    <t>IPE</t>
  </si>
  <si>
    <t>IPN</t>
  </si>
  <si>
    <t>180x180x12</t>
  </si>
  <si>
    <t>100x100x12</t>
  </si>
  <si>
    <t>110x110x12</t>
  </si>
  <si>
    <t>120x120x12</t>
  </si>
  <si>
    <t>125x125x12</t>
  </si>
  <si>
    <t>130x130x12</t>
  </si>
  <si>
    <t>140x140x12</t>
  </si>
  <si>
    <t>150x150x12</t>
  </si>
  <si>
    <t>160x160x12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</si>
</sst>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0" x14ac:knownFonts="1">
    <font>
      <sz val="11"/>
      <color theme="1"/>
      <name val="Swis721 LtCn BT"/>
      <family val="2"/>
      <charset val="1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sz val="11"/>
      <color theme="1"/>
      <name val="Swis721 LtCn BT"/>
      <family val="2"/>
    </font>
    <font>
      <vertAlign val="subscript"/>
      <sz val="11"/>
      <color theme="1"/>
      <name val="Swis721 LtCn BT"/>
      <family val="2"/>
    </font>
    <font>
      <b/>
      <sz val="11"/>
      <color theme="1"/>
      <name val="Swis721 LtCn BT"/>
      <family val="2"/>
    </font>
    <font>
      <b/>
      <vertAlign val="subscript"/>
      <sz val="11"/>
      <color theme="1"/>
      <name val="Swis721 LtCn BT"/>
      <family val="2"/>
    </font>
    <font>
      <sz val="11"/>
      <color rgb="FF0070C0"/>
      <name val="Swis721 LtCn BT"/>
      <family val="2"/>
      <charset val="1"/>
    </font>
    <font>
      <sz val="11"/>
      <color theme="1"/>
      <name val="Swis721 LtCn BT"/>
      <family val="2"/>
    </font>
    <font>
      <sz val="11"/>
      <name val="Swis721 LtCn BT"/>
      <family val="2"/>
      <charset val="1"/>
    </font>
    <font>
      <vertAlign val="superscript"/>
      <sz val="11"/>
      <color theme="1"/>
      <name val="Swis721 LtCn BT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sz val="8"/>
      <color indexed="81"/>
      <name val="Tahoma"/>
      <family val="2"/>
    </font>
    <font>
      <sz val="6"/>
      <color indexed="81"/>
      <name val="Tahoma"/>
      <family val="2"/>
    </font>
    <font>
      <b/>
      <vertAlign val="superscript"/>
      <sz val="11"/>
      <color theme="1"/>
      <name val="Swis721 LtCn BT"/>
      <family val="2"/>
    </font>
    <font>
      <b/>
      <sz val="11"/>
      <color rgb="FF0070C0"/>
      <name val="Swis721 LtCn BT"/>
      <family val="2"/>
    </font>
    <font>
      <b/>
      <sz val="14"/>
      <color theme="1"/>
      <name val="Swis721 LtCn BT"/>
      <family val="2"/>
    </font>
    <font>
      <b/>
      <sz val="14"/>
      <name val="Swis721 LtCn BT"/>
      <family val="2"/>
    </font>
    <font>
      <sz val="11"/>
      <color rgb="FF0070C0"/>
      <name val="Swis721 LtCn BT"/>
      <family val="2"/>
    </font>
    <font>
      <sz val="11"/>
      <name val="Swis721 LtCn BT"/>
      <family val="2"/>
    </font>
    <font>
      <sz val="11"/>
      <color theme="1"/>
      <name val="Symbol"/>
      <family val="1"/>
      <charset val="2"/>
    </font>
    <font>
      <b/>
      <sz val="11"/>
      <color theme="1"/>
      <name val="Symbol"/>
      <family val="1"/>
      <charset val="2"/>
    </font>
    <font>
      <b/>
      <sz val="7.7"/>
      <color theme="1"/>
      <name val="Swis721 LtCn BT"/>
      <family val="2"/>
    </font>
    <font>
      <vertAlign val="subscript"/>
      <sz val="11"/>
      <color theme="1"/>
      <name val="Symbol"/>
      <family val="1"/>
      <charset val="2"/>
    </font>
    <font>
      <sz val="8"/>
      <name val="Swis721 LtCn BT"/>
      <family val="2"/>
      <charset val="1"/>
    </font>
    <font>
      <b/>
      <sz val="10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BCBCBF"/>
      </left>
      <right style="thin">
        <color rgb="FFBCBCBF"/>
      </right>
      <top style="thin">
        <color rgb="FFBCBCBF"/>
      </top>
      <bottom style="thin">
        <color rgb="FFBCBCBF"/>
      </bottom>
      <diagonal/>
    </border>
    <border>
      <left style="thin">
        <color rgb="FFBCBCBF"/>
      </left>
      <right style="thin">
        <color rgb="FFBCBCBF"/>
      </right>
      <top style="thin">
        <color rgb="FFBCBCBF"/>
      </top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0" borderId="1" xfId="0" applyFont="1" applyBorder="1" applyAlignment="1">
      <alignment horizontal="left" vertical="top"/>
    </xf>
    <xf numFmtId="0" fontId="0" fillId="0" borderId="0" xfId="0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0" fillId="0" borderId="0" xfId="0" applyFont="1"/>
    <xf numFmtId="0" fontId="20" fillId="0" borderId="9" xfId="0" applyFont="1" applyBorder="1"/>
    <xf numFmtId="0" fontId="20" fillId="0" borderId="10" xfId="0" applyFont="1" applyBorder="1"/>
    <xf numFmtId="0" fontId="21" fillId="5" borderId="8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10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8" xfId="0" applyBorder="1"/>
    <xf numFmtId="0" fontId="0" fillId="0" borderId="20" xfId="0" applyBorder="1"/>
    <xf numFmtId="2" fontId="0" fillId="0" borderId="0" xfId="0" applyNumberFormat="1"/>
    <xf numFmtId="0" fontId="10" fillId="0" borderId="1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0" xfId="0" applyFont="1" applyBorder="1" applyAlignment="1">
      <alignment horizontal="center"/>
    </xf>
    <xf numFmtId="0" fontId="20" fillId="0" borderId="18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0" fillId="0" borderId="27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21" fillId="5" borderId="14" xfId="0" applyFont="1" applyFill="1" applyBorder="1" applyAlignment="1">
      <alignment horizontal="right"/>
    </xf>
    <xf numFmtId="0" fontId="10" fillId="0" borderId="29" xfId="0" applyFont="1" applyBorder="1" applyAlignment="1">
      <alignment horizontal="left"/>
    </xf>
    <xf numFmtId="0" fontId="7" fillId="3" borderId="29" xfId="0" applyFont="1" applyFill="1" applyBorder="1"/>
    <xf numFmtId="0" fontId="10" fillId="0" borderId="29" xfId="0" applyFont="1" applyBorder="1"/>
    <xf numFmtId="0" fontId="0" fillId="0" borderId="29" xfId="0" applyBorder="1"/>
    <xf numFmtId="0" fontId="7" fillId="0" borderId="29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10" fillId="6" borderId="29" xfId="0" applyFont="1" applyFill="1" applyBorder="1" applyAlignment="1">
      <alignment horizontal="left"/>
    </xf>
    <xf numFmtId="0" fontId="10" fillId="0" borderId="39" xfId="0" applyFont="1" applyBorder="1" applyAlignment="1">
      <alignment horizontal="left"/>
    </xf>
    <xf numFmtId="0" fontId="10" fillId="0" borderId="3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9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7" fillId="3" borderId="39" xfId="0" applyFont="1" applyFill="1" applyBorder="1"/>
    <xf numFmtId="0" fontId="0" fillId="3" borderId="31" xfId="0" applyFill="1" applyBorder="1" applyAlignment="1">
      <alignment horizontal="center"/>
    </xf>
    <xf numFmtId="0" fontId="20" fillId="0" borderId="43" xfId="0" applyFont="1" applyBorder="1"/>
    <xf numFmtId="0" fontId="10" fillId="6" borderId="39" xfId="0" applyFont="1" applyFill="1" applyBorder="1" applyAlignment="1">
      <alignment horizontal="left"/>
    </xf>
    <xf numFmtId="0" fontId="10" fillId="6" borderId="31" xfId="0" applyFont="1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20" fillId="0" borderId="20" xfId="0" applyFont="1" applyBorder="1"/>
    <xf numFmtId="0" fontId="4" fillId="0" borderId="51" xfId="0" applyFont="1" applyBorder="1" applyAlignment="1">
      <alignment horizontal="left"/>
    </xf>
    <xf numFmtId="0" fontId="24" fillId="0" borderId="1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3" fillId="0" borderId="29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29" xfId="0" applyFont="1" applyBorder="1" applyAlignment="1">
      <alignment horizontal="left"/>
    </xf>
    <xf numFmtId="0" fontId="29" fillId="7" borderId="53" xfId="0" applyFont="1" applyFill="1" applyBorder="1" applyAlignment="1">
      <alignment horizontal="center" vertical="center" wrapText="1"/>
    </xf>
    <xf numFmtId="0" fontId="29" fillId="7" borderId="5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11" fillId="0" borderId="30" xfId="0" applyNumberFormat="1" applyFon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30" xfId="0" applyNumberFormat="1" applyFill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2" fontId="9" fillId="0" borderId="38" xfId="0" applyNumberFormat="1" applyFont="1" applyBorder="1" applyAlignment="1">
      <alignment horizontal="center"/>
    </xf>
    <xf numFmtId="0" fontId="7" fillId="4" borderId="37" xfId="0" applyFont="1" applyFill="1" applyBorder="1" applyAlignment="1">
      <alignment horizontal="left"/>
    </xf>
    <xf numFmtId="0" fontId="7" fillId="4" borderId="5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2" fontId="11" fillId="0" borderId="3" xfId="0" applyNumberFormat="1" applyFont="1" applyBorder="1" applyAlignment="1">
      <alignment horizontal="center"/>
    </xf>
    <xf numFmtId="2" fontId="11" fillId="0" borderId="38" xfId="0" applyNumberFormat="1" applyFont="1" applyBorder="1" applyAlignment="1">
      <alignment horizontal="center"/>
    </xf>
    <xf numFmtId="2" fontId="11" fillId="6" borderId="1" xfId="0" applyNumberFormat="1" applyFont="1" applyFill="1" applyBorder="1" applyAlignment="1">
      <alignment horizontal="center"/>
    </xf>
    <xf numFmtId="2" fontId="11" fillId="6" borderId="30" xfId="0" applyNumberFormat="1" applyFont="1" applyFill="1" applyBorder="1" applyAlignment="1">
      <alignment horizontal="center"/>
    </xf>
    <xf numFmtId="2" fontId="11" fillId="6" borderId="32" xfId="0" applyNumberFormat="1" applyFont="1" applyFill="1" applyBorder="1" applyAlignment="1">
      <alignment horizontal="center"/>
    </xf>
    <xf numFmtId="2" fontId="11" fillId="6" borderId="33" xfId="0" applyNumberFormat="1" applyFont="1" applyFill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164" fontId="11" fillId="0" borderId="38" xfId="0" applyNumberFormat="1" applyFont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38" xfId="0" applyNumberFormat="1" applyFill="1" applyBorder="1" applyAlignment="1">
      <alignment horizontal="center"/>
    </xf>
    <xf numFmtId="2" fontId="9" fillId="0" borderId="30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38" xfId="0" applyNumberFormat="1" applyFont="1" applyBorder="1" applyAlignment="1">
      <alignment horizontal="center"/>
    </xf>
    <xf numFmtId="2" fontId="11" fillId="6" borderId="31" xfId="0" applyNumberFormat="1" applyFont="1" applyFill="1" applyBorder="1" applyAlignment="1">
      <alignment horizontal="center"/>
    </xf>
    <xf numFmtId="2" fontId="11" fillId="6" borderId="40" xfId="0" applyNumberFormat="1" applyFont="1" applyFill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2" fontId="11" fillId="0" borderId="52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7" fillId="5" borderId="29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30" xfId="0" applyFont="1" applyFill="1" applyBorder="1" applyAlignment="1">
      <alignment horizontal="center"/>
    </xf>
    <xf numFmtId="2" fontId="11" fillId="6" borderId="3" xfId="0" applyNumberFormat="1" applyFont="1" applyFill="1" applyBorder="1" applyAlignment="1">
      <alignment horizontal="center"/>
    </xf>
    <xf numFmtId="2" fontId="11" fillId="6" borderId="38" xfId="0" applyNumberFormat="1" applyFont="1" applyFill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164" fontId="9" fillId="0" borderId="30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7" fillId="0" borderId="48" xfId="0" applyFont="1" applyBorder="1" applyAlignment="1">
      <alignment horizontal="center" vertical="center" textRotation="90"/>
    </xf>
    <xf numFmtId="0" fontId="7" fillId="0" borderId="49" xfId="0" applyFont="1" applyBorder="1" applyAlignment="1">
      <alignment horizontal="center" vertical="center" textRotation="90"/>
    </xf>
    <xf numFmtId="0" fontId="7" fillId="0" borderId="50" xfId="0" applyFont="1" applyBorder="1" applyAlignment="1">
      <alignment horizontal="center" vertical="center" textRotation="90"/>
    </xf>
    <xf numFmtId="0" fontId="0" fillId="0" borderId="46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0" xfId="0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0" borderId="44" xfId="0" applyFont="1" applyBorder="1" applyAlignment="1">
      <alignment horizontal="center" vertical="center" textRotation="90"/>
    </xf>
    <xf numFmtId="0" fontId="7" fillId="0" borderId="37" xfId="0" applyFont="1" applyBorder="1" applyAlignment="1">
      <alignment horizontal="center" vertical="center" textRotation="90"/>
    </xf>
    <xf numFmtId="0" fontId="7" fillId="0" borderId="45" xfId="0" applyFont="1" applyBorder="1" applyAlignment="1">
      <alignment horizontal="center" vertical="center" textRotation="90"/>
    </xf>
    <xf numFmtId="0" fontId="0" fillId="0" borderId="24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9" xfId="0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38" xfId="0" applyNumberFormat="1" applyBorder="1" applyAlignment="1">
      <alignment horizontal="center"/>
    </xf>
    <xf numFmtId="0" fontId="10" fillId="0" borderId="37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29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4" borderId="29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22" fillId="0" borderId="23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28" xfId="0" applyFont="1" applyBorder="1" applyAlignment="1">
      <alignment horizontal="center"/>
    </xf>
    <xf numFmtId="2" fontId="0" fillId="3" borderId="32" xfId="0" applyNumberFormat="1" applyFill="1" applyBorder="1" applyAlignment="1">
      <alignment horizontal="center"/>
    </xf>
    <xf numFmtId="2" fontId="0" fillId="3" borderId="33" xfId="0" applyNumberFormat="1" applyFill="1" applyBorder="1" applyAlignment="1">
      <alignment horizontal="center"/>
    </xf>
    <xf numFmtId="2" fontId="11" fillId="0" borderId="31" xfId="0" applyNumberFormat="1" applyFont="1" applyBorder="1" applyAlignment="1">
      <alignment horizontal="center"/>
    </xf>
    <xf numFmtId="2" fontId="11" fillId="0" borderId="40" xfId="0" applyNumberFormat="1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164" fontId="23" fillId="0" borderId="32" xfId="0" applyNumberFormat="1" applyFont="1" applyBorder="1" applyAlignment="1">
      <alignment horizontal="center"/>
    </xf>
    <xf numFmtId="164" fontId="23" fillId="0" borderId="33" xfId="0" applyNumberFormat="1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164" fontId="22" fillId="0" borderId="23" xfId="0" applyNumberFormat="1" applyFont="1" applyBorder="1" applyAlignment="1">
      <alignment horizontal="center"/>
    </xf>
    <xf numFmtId="164" fontId="22" fillId="0" borderId="28" xfId="0" applyNumberFormat="1" applyFont="1" applyBorder="1" applyAlignment="1">
      <alignment horizontal="center"/>
    </xf>
    <xf numFmtId="164" fontId="23" fillId="0" borderId="23" xfId="0" applyNumberFormat="1" applyFont="1" applyBorder="1" applyAlignment="1">
      <alignment horizontal="center"/>
    </xf>
    <xf numFmtId="164" fontId="23" fillId="0" borderId="28" xfId="0" applyNumberFormat="1" applyFont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41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7" fillId="4" borderId="24" xfId="0" applyFont="1" applyFill="1" applyBorder="1" applyAlignment="1">
      <alignment horizontal="left"/>
    </xf>
    <xf numFmtId="0" fontId="7" fillId="4" borderId="25" xfId="0" applyFont="1" applyFill="1" applyBorder="1" applyAlignment="1">
      <alignment horizontal="left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19"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BCBCBF"/>
        </left>
        <right style="thin">
          <color rgb="FFBCBCBF"/>
        </right>
        <top style="thin">
          <color rgb="FFBCBCBF"/>
        </top>
        <bottom style="thin">
          <color rgb="FFBCBCBF"/>
        </bottom>
        <vertical/>
        <horizontal/>
      </border>
    </dxf>
    <dxf>
      <border outline="0">
        <bottom style="thin">
          <color rgb="FFBCBC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ptos Narrow"/>
        <family val="2"/>
        <scheme val="minor"/>
      </font>
      <fill>
        <patternFill patternType="solid">
          <fgColor indexed="64"/>
          <bgColor rgb="FFFFFFFF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wis721 LtCn BT"/>
        <family val="2"/>
        <scheme val="none"/>
      </font>
      <alignment horizontal="center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13" Type="http://schemas.openxmlformats.org/officeDocument/2006/relationships/calcChain" Target="calcChain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connections" Target="connections.xml"/><Relationship Id="rId9" Type="http://schemas.microsoft.com/office/2017/06/relationships/rdRichValue" Target="richData/rdrichvalue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681317</xdr:colOff>
      <xdr:row>37</xdr:row>
      <xdr:rowOff>1</xdr:rowOff>
    </xdr:from>
    <xdr:to>
      <xdr:col>2</xdr:col>
      <xdr:colOff>3942647</xdr:colOff>
      <xdr:row>52</xdr:row>
      <xdr:rowOff>62970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63C1C0-C7BB-B0C7-ECE3-1C91C1F10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8164" y="10641107"/>
          <a:ext cx="5619048" cy="275238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obin A." id="{D0E19D14-FC4C-40F1-87DF-DC5C82BE75E6}" userId="Robin A." providerId="None"/>
</personList>
</file>

<file path=xl/richData/_rels/richValueRel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7">
  <rv s="0">
    <v>0</v>
    <v>5</v>
    <v>A drawing of a staircase
AI-generated content may be incorrect.</v>
  </rv>
  <rv s="0">
    <v>1</v>
    <v>5</v>
    <v>A diagram of a structure
AI-generated content may be incorrect.</v>
  </rv>
  <rv s="0">
    <v>2</v>
    <v>5</v>
    <v>A drawing of a rectangular object
AI-generated content may be incorrect.</v>
  </rv>
  <rv s="0">
    <v>3</v>
    <v>5</v>
    <v>A drawing of a structure
AI-generated content may be incorrect.</v>
  </rv>
  <rv s="1">
    <v>4</v>
    <v>5</v>
  </rv>
  <rv s="1">
    <v>5</v>
    <v>5</v>
  </rv>
  <rv s="1">
    <v>6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  <k n="Text" t="s"/>
  </s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A4ACB11-B3CF-438F-B558-C20EC5B8B9AC}" name="HEB" displayName="HEB" ref="B127:B151" totalsRowShown="0" headerRowDxfId="18" dataDxfId="17" tableBorderDxfId="16">
  <autoFilter ref="B127:B151" xr:uid="{BA4ACB11-B3CF-438F-B558-C20EC5B8B9AC}"/>
  <tableColumns count="1">
    <tableColumn id="1" xr3:uid="{373F7FC0-AFBB-48BE-B9E8-E1E896CCB98C}" name="HEB" dataDxfId="1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B3DD8A3-5C4B-40F0-B0AC-81F2B0A87F68}" name="HEA" displayName="HEA" ref="C127:C151" totalsRowShown="0" headerRowDxfId="14" dataDxfId="13">
  <autoFilter ref="C127:C151" xr:uid="{8B3DD8A3-5C4B-40F0-B0AC-81F2B0A87F68}"/>
  <tableColumns count="1">
    <tableColumn id="1" xr3:uid="{3B850C10-8DCE-4A7A-B47B-4BCA398E09F2}" name="HEA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1CD57C1-2148-4E9C-B39D-B9954942E70D}" name="HEM" displayName="HEM" ref="D127:D151" totalsRowShown="0" headerRowDxfId="11" dataDxfId="10">
  <autoFilter ref="D127:D151" xr:uid="{21CD57C1-2148-4E9C-B39D-B9954942E70D}"/>
  <tableColumns count="1">
    <tableColumn id="1" xr3:uid="{22F06FA6-C123-4824-B310-76A016D9EFD2}" name="HEM" dataDxfId="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27DC9A9-AED0-43A1-927D-B28EDBD55E1E}" name="IPE" displayName="IPE" ref="E127:E145" totalsRowShown="0" headerRowDxfId="8" dataDxfId="7">
  <autoFilter ref="E127:E145" xr:uid="{327DC9A9-AED0-43A1-927D-B28EDBD55E1E}"/>
  <tableColumns count="1">
    <tableColumn id="1" xr3:uid="{6996DE65-8AE2-4147-A30F-52807A7F3D3A}" name="IPE" dataDxfId="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4611436-0DCF-4208-9320-E0016C6BCBEE}" name="IPN" displayName="IPN" ref="F127:F148" totalsRowShown="0" headerRowDxfId="5" dataDxfId="4">
  <autoFilter ref="F127:F148" xr:uid="{F4611436-0DCF-4208-9320-E0016C6BCBEE}"/>
  <tableColumns count="1">
    <tableColumn id="1" xr3:uid="{BD3D7ED8-C8B1-4901-8CE6-535D67E02AB7}" name="IPN" dataDxfId="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F0B38957-7513-44C5-B882-B674E4FC9D5F}" name="L" displayName="L" ref="G127:G136" totalsRowShown="0" headerRowDxfId="2" dataDxfId="1">
  <autoFilter ref="G127:G136" xr:uid="{F0B38957-7513-44C5-B882-B674E4FC9D5F}"/>
  <tableColumns count="1">
    <tableColumn id="1" xr3:uid="{68A28574-F0B9-4ADA-A65D-1465DB0F4A84}" name="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C63" dT="2025-11-03T20:13:30.86" personId="{D0E19D14-FC4C-40F1-87DF-DC5C82BE75E6}" id="{E747D82A-EFD0-4C72-BBBE-399F8B0F1471}">
    <text>Revisar por cambio de dimension, este valor puede variar en la optimización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B56AA-4A7A-4321-ADEE-667D97A83F2C}">
  <dimension ref="A2:AI270"/>
  <sheetViews>
    <sheetView tabSelected="1" zoomScaleNormal="100" workbookViewId="0">
      <selection activeCell="E11" sqref="E11:F11"/>
    </sheetView>
  </sheetViews>
  <sheetFormatPr defaultRowHeight="13.8" x14ac:dyDescent="0.25"/>
  <cols>
    <col min="1" max="1" width="2.625" bestFit="1" customWidth="1"/>
    <col min="2" max="2" width="41.375" bestFit="1" customWidth="1"/>
    <col min="5" max="5" width="12" customWidth="1"/>
    <col min="6" max="6" width="18.625" customWidth="1"/>
    <col min="9" max="9" width="6.5" bestFit="1" customWidth="1"/>
    <col min="10" max="10" width="41.375" bestFit="1" customWidth="1"/>
    <col min="11" max="11" width="7.125" bestFit="1" customWidth="1"/>
    <col min="12" max="12" width="7.5" bestFit="1" customWidth="1"/>
    <col min="15" max="15" width="4.375" bestFit="1" customWidth="1"/>
    <col min="16" max="16" width="6.5" bestFit="1" customWidth="1"/>
    <col min="17" max="17" width="41.375" bestFit="1" customWidth="1"/>
    <col min="18" max="18" width="7.125" bestFit="1" customWidth="1"/>
    <col min="19" max="19" width="6.875" bestFit="1" customWidth="1"/>
    <col min="23" max="23" width="6.5" bestFit="1" customWidth="1"/>
    <col min="24" max="24" width="41.375" bestFit="1" customWidth="1"/>
    <col min="25" max="25" width="7.125" bestFit="1" customWidth="1"/>
    <col min="26" max="26" width="7.5" bestFit="1" customWidth="1"/>
    <col min="30" max="30" width="6.5" bestFit="1" customWidth="1"/>
    <col min="31" max="31" width="41.375" bestFit="1" customWidth="1"/>
    <col min="32" max="32" width="7.125" bestFit="1" customWidth="1"/>
    <col min="33" max="33" width="7.5" bestFit="1" customWidth="1"/>
  </cols>
  <sheetData>
    <row r="2" spans="1:35" ht="14.4" thickBot="1" x14ac:dyDescent="0.3"/>
    <row r="3" spans="1:35" ht="18" thickBot="1" x14ac:dyDescent="0.35">
      <c r="A3" s="56"/>
      <c r="B3" s="153" t="s">
        <v>0</v>
      </c>
      <c r="C3" s="154"/>
      <c r="D3" s="154"/>
      <c r="E3" s="154"/>
      <c r="F3" s="155"/>
      <c r="I3" s="134" t="s">
        <v>231</v>
      </c>
      <c r="J3" s="137" t="e" vm="1">
        <v>#VALUE!</v>
      </c>
      <c r="K3" s="123"/>
      <c r="L3" s="123"/>
      <c r="M3" s="123"/>
      <c r="N3" s="124"/>
      <c r="P3" s="134" t="s">
        <v>232</v>
      </c>
      <c r="Q3" s="137" t="e" vm="2">
        <v>#VALUE!</v>
      </c>
      <c r="R3" s="123"/>
      <c r="S3" s="123"/>
      <c r="T3" s="123"/>
      <c r="U3" s="124"/>
      <c r="W3" s="134" t="s">
        <v>235</v>
      </c>
      <c r="X3" s="137" t="e" vm="3">
        <v>#VALUE!</v>
      </c>
      <c r="Y3" s="123"/>
      <c r="Z3" s="123"/>
      <c r="AA3" s="123"/>
      <c r="AB3" s="124"/>
      <c r="AD3" s="119" t="s">
        <v>239</v>
      </c>
      <c r="AE3" s="122" t="e" vm="4">
        <v>#VALUE!</v>
      </c>
      <c r="AF3" s="123"/>
      <c r="AG3" s="123"/>
      <c r="AH3" s="123"/>
      <c r="AI3" s="124"/>
    </row>
    <row r="4" spans="1:35" ht="18" thickBot="1" x14ac:dyDescent="0.35">
      <c r="A4" s="23">
        <v>1</v>
      </c>
      <c r="B4" s="131" t="s">
        <v>84</v>
      </c>
      <c r="C4" s="132"/>
      <c r="D4" s="132"/>
      <c r="E4" s="132"/>
      <c r="F4" s="133"/>
      <c r="I4" s="135"/>
      <c r="J4" s="138"/>
      <c r="K4" s="126"/>
      <c r="L4" s="126"/>
      <c r="M4" s="126"/>
      <c r="N4" s="127"/>
      <c r="P4" s="135"/>
      <c r="Q4" s="138"/>
      <c r="R4" s="126"/>
      <c r="S4" s="126"/>
      <c r="T4" s="126"/>
      <c r="U4" s="127"/>
      <c r="W4" s="135"/>
      <c r="X4" s="138"/>
      <c r="Y4" s="126"/>
      <c r="Z4" s="126"/>
      <c r="AA4" s="126"/>
      <c r="AB4" s="127"/>
      <c r="AD4" s="120"/>
      <c r="AE4" s="125"/>
      <c r="AF4" s="126"/>
      <c r="AG4" s="126"/>
      <c r="AH4" s="126"/>
      <c r="AI4" s="127"/>
    </row>
    <row r="5" spans="1:35" ht="17.399999999999999" x14ac:dyDescent="0.3">
      <c r="A5" s="21"/>
      <c r="B5" s="41" t="s">
        <v>81</v>
      </c>
      <c r="C5" s="9" t="s">
        <v>83</v>
      </c>
      <c r="D5" s="9" t="s">
        <v>35</v>
      </c>
      <c r="E5" s="70">
        <v>43</v>
      </c>
      <c r="F5" s="114"/>
      <c r="I5" s="135"/>
      <c r="J5" s="138"/>
      <c r="K5" s="126"/>
      <c r="L5" s="126"/>
      <c r="M5" s="126"/>
      <c r="N5" s="127"/>
      <c r="P5" s="135"/>
      <c r="Q5" s="138"/>
      <c r="R5" s="126"/>
      <c r="S5" s="126"/>
      <c r="T5" s="126"/>
      <c r="U5" s="127"/>
      <c r="W5" s="135"/>
      <c r="X5" s="138"/>
      <c r="Y5" s="126"/>
      <c r="Z5" s="126"/>
      <c r="AA5" s="126"/>
      <c r="AB5" s="127"/>
      <c r="AD5" s="120"/>
      <c r="AE5" s="125"/>
      <c r="AF5" s="126"/>
      <c r="AG5" s="126"/>
      <c r="AH5" s="126"/>
      <c r="AI5" s="127"/>
    </row>
    <row r="6" spans="1:35" ht="17.399999999999999" x14ac:dyDescent="0.3">
      <c r="A6" s="21"/>
      <c r="B6" s="147" t="s">
        <v>137</v>
      </c>
      <c r="C6" s="148"/>
      <c r="D6" s="148"/>
      <c r="E6" s="70" t="s">
        <v>140</v>
      </c>
      <c r="F6" s="114"/>
      <c r="I6" s="135"/>
      <c r="J6" s="138"/>
      <c r="K6" s="126"/>
      <c r="L6" s="126"/>
      <c r="M6" s="126"/>
      <c r="N6" s="127"/>
      <c r="P6" s="135"/>
      <c r="Q6" s="138"/>
      <c r="R6" s="126"/>
      <c r="S6" s="126"/>
      <c r="T6" s="126"/>
      <c r="U6" s="127"/>
      <c r="W6" s="135"/>
      <c r="X6" s="138"/>
      <c r="Y6" s="126"/>
      <c r="Z6" s="126"/>
      <c r="AA6" s="126"/>
      <c r="AB6" s="127"/>
      <c r="AD6" s="120"/>
      <c r="AE6" s="125"/>
      <c r="AF6" s="126"/>
      <c r="AG6" s="126"/>
      <c r="AH6" s="126"/>
      <c r="AI6" s="127"/>
    </row>
    <row r="7" spans="1:35" ht="18" x14ac:dyDescent="0.35">
      <c r="A7" s="21"/>
      <c r="B7" s="41" t="s">
        <v>143</v>
      </c>
      <c r="C7" s="10" t="s">
        <v>144</v>
      </c>
      <c r="D7" s="9" t="s">
        <v>35</v>
      </c>
      <c r="E7" s="126">
        <f>+IF(E6="U Bridge x 25000V AC",Tables!C64,IF(E6="U Bridge x 3000V AC",Tables!C65,IF(E6="O Bridge x 25000V AC (Interal)",Tables!C66,IF(Wind!E6="O Bridge x 25000V AC (External)",Tables!C67,Tables!C68))))</f>
        <v>6.85</v>
      </c>
      <c r="F7" s="127"/>
      <c r="I7" s="135"/>
      <c r="J7" s="138"/>
      <c r="K7" s="126"/>
      <c r="L7" s="126"/>
      <c r="M7" s="126"/>
      <c r="N7" s="127"/>
      <c r="O7" s="29"/>
      <c r="P7" s="135"/>
      <c r="Q7" s="138"/>
      <c r="R7" s="126"/>
      <c r="S7" s="126"/>
      <c r="T7" s="126"/>
      <c r="U7" s="127"/>
      <c r="W7" s="135"/>
      <c r="X7" s="138"/>
      <c r="Y7" s="126"/>
      <c r="Z7" s="126"/>
      <c r="AA7" s="126"/>
      <c r="AB7" s="127"/>
      <c r="AD7" s="120"/>
      <c r="AE7" s="125"/>
      <c r="AF7" s="126"/>
      <c r="AG7" s="126"/>
      <c r="AH7" s="126"/>
      <c r="AI7" s="127"/>
    </row>
    <row r="8" spans="1:35" ht="18" x14ac:dyDescent="0.35">
      <c r="A8" s="21"/>
      <c r="B8" s="41" t="s">
        <v>87</v>
      </c>
      <c r="C8" s="10" t="s">
        <v>144</v>
      </c>
      <c r="D8" s="9" t="s">
        <v>35</v>
      </c>
      <c r="E8" s="70">
        <v>6.85</v>
      </c>
      <c r="F8" s="114"/>
      <c r="I8" s="135"/>
      <c r="J8" s="138"/>
      <c r="K8" s="126"/>
      <c r="L8" s="126"/>
      <c r="M8" s="126"/>
      <c r="N8" s="127"/>
      <c r="O8" s="29"/>
      <c r="P8" s="135"/>
      <c r="Q8" s="138"/>
      <c r="R8" s="126"/>
      <c r="S8" s="126"/>
      <c r="T8" s="126"/>
      <c r="U8" s="127"/>
      <c r="W8" s="135"/>
      <c r="X8" s="138"/>
      <c r="Y8" s="126"/>
      <c r="Z8" s="126"/>
      <c r="AA8" s="126"/>
      <c r="AB8" s="127"/>
      <c r="AD8" s="120"/>
      <c r="AE8" s="125"/>
      <c r="AF8" s="126"/>
      <c r="AG8" s="126"/>
      <c r="AH8" s="126"/>
      <c r="AI8" s="127"/>
    </row>
    <row r="9" spans="1:35" ht="18" x14ac:dyDescent="0.35">
      <c r="A9" s="21"/>
      <c r="B9" s="41" t="s">
        <v>145</v>
      </c>
      <c r="C9" s="10" t="s">
        <v>146</v>
      </c>
      <c r="D9" s="9" t="s">
        <v>35</v>
      </c>
      <c r="E9" s="126">
        <v>4.5</v>
      </c>
      <c r="F9" s="127"/>
      <c r="I9" s="135"/>
      <c r="J9" s="138"/>
      <c r="K9" s="126"/>
      <c r="L9" s="126"/>
      <c r="M9" s="126"/>
      <c r="N9" s="127"/>
      <c r="P9" s="135"/>
      <c r="Q9" s="138"/>
      <c r="R9" s="126"/>
      <c r="S9" s="126"/>
      <c r="T9" s="126"/>
      <c r="U9" s="127"/>
      <c r="W9" s="135"/>
      <c r="X9" s="138"/>
      <c r="Y9" s="126"/>
      <c r="Z9" s="126"/>
      <c r="AA9" s="126"/>
      <c r="AB9" s="127"/>
      <c r="AD9" s="120"/>
      <c r="AE9" s="125"/>
      <c r="AF9" s="126"/>
      <c r="AG9" s="126"/>
      <c r="AH9" s="126"/>
      <c r="AI9" s="127"/>
    </row>
    <row r="10" spans="1:35" ht="18" x14ac:dyDescent="0.35">
      <c r="A10" s="21"/>
      <c r="B10" s="67" t="s">
        <v>309</v>
      </c>
      <c r="C10" s="10" t="s">
        <v>151</v>
      </c>
      <c r="D10" s="9" t="s">
        <v>35</v>
      </c>
      <c r="E10" s="126">
        <v>0.25</v>
      </c>
      <c r="F10" s="127"/>
      <c r="I10" s="135"/>
      <c r="J10" s="138"/>
      <c r="K10" s="126"/>
      <c r="L10" s="126"/>
      <c r="M10" s="126"/>
      <c r="N10" s="127"/>
      <c r="P10" s="135"/>
      <c r="Q10" s="138"/>
      <c r="R10" s="126"/>
      <c r="S10" s="126"/>
      <c r="T10" s="126"/>
      <c r="U10" s="127"/>
      <c r="W10" s="135"/>
      <c r="X10" s="138"/>
      <c r="Y10" s="126"/>
      <c r="Z10" s="126"/>
      <c r="AA10" s="126"/>
      <c r="AB10" s="127"/>
      <c r="AD10" s="120"/>
      <c r="AE10" s="125"/>
      <c r="AF10" s="126"/>
      <c r="AG10" s="126"/>
      <c r="AH10" s="126"/>
      <c r="AI10" s="127"/>
    </row>
    <row r="11" spans="1:35" ht="18" x14ac:dyDescent="0.35">
      <c r="A11" s="21"/>
      <c r="B11" s="41" t="s">
        <v>85</v>
      </c>
      <c r="C11" s="10" t="s">
        <v>125</v>
      </c>
      <c r="D11" s="9" t="s">
        <v>35</v>
      </c>
      <c r="E11" s="72">
        <v>0.36</v>
      </c>
      <c r="F11" s="113"/>
      <c r="I11" s="135"/>
      <c r="J11" s="138"/>
      <c r="K11" s="126"/>
      <c r="L11" s="126"/>
      <c r="M11" s="126"/>
      <c r="N11" s="127"/>
      <c r="O11" s="29"/>
      <c r="P11" s="135"/>
      <c r="Q11" s="138"/>
      <c r="R11" s="126"/>
      <c r="S11" s="126"/>
      <c r="T11" s="126"/>
      <c r="U11" s="127"/>
      <c r="W11" s="135"/>
      <c r="X11" s="138"/>
      <c r="Y11" s="126"/>
      <c r="Z11" s="126"/>
      <c r="AA11" s="126"/>
      <c r="AB11" s="127"/>
      <c r="AD11" s="120"/>
      <c r="AE11" s="125"/>
      <c r="AF11" s="126"/>
      <c r="AG11" s="126"/>
      <c r="AH11" s="126"/>
      <c r="AI11" s="127"/>
    </row>
    <row r="12" spans="1:35" ht="18.600000000000001" thickBot="1" x14ac:dyDescent="0.4">
      <c r="A12" s="21"/>
      <c r="B12" s="42" t="s">
        <v>90</v>
      </c>
      <c r="C12" s="12" t="s">
        <v>86</v>
      </c>
      <c r="D12" s="13" t="s">
        <v>35</v>
      </c>
      <c r="E12" s="75">
        <f>+E8+E11</f>
        <v>7.21</v>
      </c>
      <c r="F12" s="76"/>
      <c r="I12" s="135"/>
      <c r="J12" s="138"/>
      <c r="K12" s="126"/>
      <c r="L12" s="126"/>
      <c r="M12" s="126"/>
      <c r="N12" s="127"/>
      <c r="O12" s="29"/>
      <c r="P12" s="135"/>
      <c r="Q12" s="138"/>
      <c r="R12" s="126"/>
      <c r="S12" s="126"/>
      <c r="T12" s="126"/>
      <c r="U12" s="127"/>
      <c r="W12" s="135"/>
      <c r="X12" s="138"/>
      <c r="Y12" s="126"/>
      <c r="Z12" s="126"/>
      <c r="AA12" s="126"/>
      <c r="AB12" s="127"/>
      <c r="AD12" s="120"/>
      <c r="AE12" s="125"/>
      <c r="AF12" s="126"/>
      <c r="AG12" s="126"/>
      <c r="AH12" s="126"/>
      <c r="AI12" s="127"/>
    </row>
    <row r="13" spans="1:35" ht="18" thickBot="1" x14ac:dyDescent="0.35">
      <c r="A13" s="23">
        <v>2</v>
      </c>
      <c r="B13" s="131" t="s">
        <v>88</v>
      </c>
      <c r="C13" s="132"/>
      <c r="D13" s="132"/>
      <c r="E13" s="132"/>
      <c r="F13" s="133"/>
      <c r="I13" s="136"/>
      <c r="J13" s="139"/>
      <c r="K13" s="129"/>
      <c r="L13" s="129"/>
      <c r="M13" s="129"/>
      <c r="N13" s="130"/>
      <c r="P13" s="136"/>
      <c r="Q13" s="139"/>
      <c r="R13" s="129"/>
      <c r="S13" s="129"/>
      <c r="T13" s="129"/>
      <c r="U13" s="130"/>
      <c r="W13" s="136"/>
      <c r="X13" s="139"/>
      <c r="Y13" s="129"/>
      <c r="Z13" s="129"/>
      <c r="AA13" s="129"/>
      <c r="AB13" s="130"/>
      <c r="AD13" s="121"/>
      <c r="AE13" s="128"/>
      <c r="AF13" s="129"/>
      <c r="AG13" s="129"/>
      <c r="AH13" s="129"/>
      <c r="AI13" s="130"/>
    </row>
    <row r="14" spans="1:35" ht="18" thickBot="1" x14ac:dyDescent="0.35">
      <c r="A14" s="21"/>
      <c r="B14" s="144" t="s">
        <v>2</v>
      </c>
      <c r="C14" s="145"/>
      <c r="D14" s="146"/>
      <c r="E14" s="70" t="s">
        <v>89</v>
      </c>
      <c r="F14" s="114"/>
      <c r="I14" s="40" t="s">
        <v>238</v>
      </c>
      <c r="J14" s="131" t="s">
        <v>189</v>
      </c>
      <c r="K14" s="132"/>
      <c r="L14" s="132"/>
      <c r="M14" s="132"/>
      <c r="N14" s="133"/>
      <c r="P14" s="40" t="s">
        <v>237</v>
      </c>
      <c r="Q14" s="131" t="s">
        <v>189</v>
      </c>
      <c r="R14" s="132"/>
      <c r="S14" s="132"/>
      <c r="T14" s="132"/>
      <c r="U14" s="133"/>
      <c r="W14" s="40" t="s">
        <v>236</v>
      </c>
      <c r="X14" s="131" t="s">
        <v>189</v>
      </c>
      <c r="Y14" s="132"/>
      <c r="Z14" s="132"/>
      <c r="AA14" s="132"/>
      <c r="AB14" s="133"/>
      <c r="AD14" s="40" t="s">
        <v>240</v>
      </c>
      <c r="AE14" s="131" t="s">
        <v>189</v>
      </c>
      <c r="AF14" s="132"/>
      <c r="AG14" s="132"/>
      <c r="AH14" s="132"/>
      <c r="AI14" s="133"/>
    </row>
    <row r="15" spans="1:35" ht="18" x14ac:dyDescent="0.35">
      <c r="A15" s="21"/>
      <c r="B15" s="144" t="s">
        <v>1</v>
      </c>
      <c r="C15" s="145"/>
      <c r="D15" s="146"/>
      <c r="E15" s="70">
        <v>1</v>
      </c>
      <c r="F15" s="114"/>
      <c r="I15" s="33"/>
      <c r="J15" s="41" t="s">
        <v>147</v>
      </c>
      <c r="K15" s="10" t="s">
        <v>148</v>
      </c>
      <c r="L15" s="9" t="s">
        <v>35</v>
      </c>
      <c r="M15" s="72">
        <f>+$E$9+2*$E$10</f>
        <v>5</v>
      </c>
      <c r="N15" s="113"/>
      <c r="P15" s="33"/>
      <c r="Q15" s="41" t="s">
        <v>147</v>
      </c>
      <c r="R15" s="10" t="s">
        <v>148</v>
      </c>
      <c r="S15" s="9" t="s">
        <v>35</v>
      </c>
      <c r="T15" s="72">
        <f>+$E$9+2*$E$10</f>
        <v>5</v>
      </c>
      <c r="U15" s="113"/>
      <c r="W15" s="33"/>
      <c r="X15" s="41" t="s">
        <v>147</v>
      </c>
      <c r="Y15" s="10" t="s">
        <v>148</v>
      </c>
      <c r="Z15" s="9" t="s">
        <v>35</v>
      </c>
      <c r="AA15" s="72">
        <f>+$E$9+2*$E$10</f>
        <v>5</v>
      </c>
      <c r="AB15" s="113"/>
      <c r="AD15" s="33"/>
      <c r="AE15" s="41" t="s">
        <v>147</v>
      </c>
      <c r="AF15" s="10" t="s">
        <v>148</v>
      </c>
      <c r="AG15" s="9" t="s">
        <v>35</v>
      </c>
      <c r="AH15" s="72">
        <f>+$E$9+2*$E$10</f>
        <v>5</v>
      </c>
      <c r="AI15" s="113"/>
    </row>
    <row r="16" spans="1:35" ht="18" x14ac:dyDescent="0.35">
      <c r="A16" s="21"/>
      <c r="B16" s="144" t="s">
        <v>3</v>
      </c>
      <c r="C16" s="145"/>
      <c r="D16" s="146"/>
      <c r="E16" s="70" t="s">
        <v>13</v>
      </c>
      <c r="F16" s="114"/>
      <c r="I16" s="33"/>
      <c r="J16" s="41" t="s">
        <v>149</v>
      </c>
      <c r="K16" s="10" t="s">
        <v>193</v>
      </c>
      <c r="L16" s="9" t="s">
        <v>35</v>
      </c>
      <c r="M16" s="70">
        <v>0.45</v>
      </c>
      <c r="N16" s="114"/>
      <c r="P16" s="33"/>
      <c r="Q16" s="41" t="s">
        <v>149</v>
      </c>
      <c r="R16" s="10" t="s">
        <v>193</v>
      </c>
      <c r="S16" s="9" t="s">
        <v>35</v>
      </c>
      <c r="T16" s="70">
        <f>+M16</f>
        <v>0.45</v>
      </c>
      <c r="U16" s="114"/>
      <c r="W16" s="33"/>
      <c r="X16" s="41" t="s">
        <v>149</v>
      </c>
      <c r="Y16" s="10" t="s">
        <v>193</v>
      </c>
      <c r="Z16" s="9" t="s">
        <v>35</v>
      </c>
      <c r="AA16" s="70">
        <f>+T16</f>
        <v>0.45</v>
      </c>
      <c r="AB16" s="114"/>
      <c r="AD16" s="33"/>
      <c r="AE16" s="41" t="s">
        <v>149</v>
      </c>
      <c r="AF16" s="10" t="s">
        <v>193</v>
      </c>
      <c r="AG16" s="9" t="s">
        <v>35</v>
      </c>
      <c r="AH16" s="70">
        <f>+AA16</f>
        <v>0.45</v>
      </c>
      <c r="AI16" s="114"/>
    </row>
    <row r="17" spans="1:35" ht="18" x14ac:dyDescent="0.35">
      <c r="A17" s="21"/>
      <c r="B17" s="43" t="s">
        <v>4</v>
      </c>
      <c r="C17" s="9" t="s">
        <v>5</v>
      </c>
      <c r="D17" s="9" t="s">
        <v>40</v>
      </c>
      <c r="E17" s="70" t="s">
        <v>60</v>
      </c>
      <c r="F17" s="114"/>
      <c r="I17" s="33"/>
      <c r="J17" s="41" t="s">
        <v>95</v>
      </c>
      <c r="K17" s="10" t="s">
        <v>82</v>
      </c>
      <c r="L17" s="9" t="s">
        <v>35</v>
      </c>
      <c r="M17" s="72">
        <f>+M15+2*M16</f>
        <v>5.9</v>
      </c>
      <c r="N17" s="113"/>
      <c r="P17" s="33"/>
      <c r="Q17" s="41" t="s">
        <v>95</v>
      </c>
      <c r="R17" s="10" t="s">
        <v>82</v>
      </c>
      <c r="S17" s="9" t="s">
        <v>35</v>
      </c>
      <c r="T17" s="72">
        <f>+T15+2*T16</f>
        <v>5.9</v>
      </c>
      <c r="U17" s="113"/>
      <c r="W17" s="33"/>
      <c r="X17" s="41" t="s">
        <v>95</v>
      </c>
      <c r="Y17" s="10" t="s">
        <v>82</v>
      </c>
      <c r="Z17" s="9" t="s">
        <v>35</v>
      </c>
      <c r="AA17" s="72">
        <f>+AA15+2*AA16</f>
        <v>5.9</v>
      </c>
      <c r="AB17" s="113"/>
      <c r="AD17" s="33"/>
      <c r="AE17" s="41" t="s">
        <v>95</v>
      </c>
      <c r="AF17" s="10" t="s">
        <v>82</v>
      </c>
      <c r="AG17" s="9" t="s">
        <v>35</v>
      </c>
      <c r="AH17" s="72">
        <f>+AH15+2*AH16</f>
        <v>5.9</v>
      </c>
      <c r="AI17" s="113"/>
    </row>
    <row r="18" spans="1:35" ht="16.2" customHeight="1" x14ac:dyDescent="0.35">
      <c r="A18" s="21"/>
      <c r="B18" s="43" t="s">
        <v>6</v>
      </c>
      <c r="C18" s="9" t="s">
        <v>36</v>
      </c>
      <c r="D18" s="9" t="s">
        <v>35</v>
      </c>
      <c r="E18" s="126">
        <v>50</v>
      </c>
      <c r="F18" s="127"/>
      <c r="I18" s="33"/>
      <c r="J18" s="41" t="s">
        <v>150</v>
      </c>
      <c r="K18" s="10" t="s">
        <v>98</v>
      </c>
      <c r="L18" s="9" t="s">
        <v>35</v>
      </c>
      <c r="M18" s="72">
        <f>+$E$8+$E$11</f>
        <v>7.21</v>
      </c>
      <c r="N18" s="113"/>
      <c r="P18" s="33"/>
      <c r="Q18" s="41" t="s">
        <v>150</v>
      </c>
      <c r="R18" s="10" t="s">
        <v>98</v>
      </c>
      <c r="S18" s="9" t="s">
        <v>35</v>
      </c>
      <c r="T18" s="72">
        <f>+$E$8+$E$11</f>
        <v>7.21</v>
      </c>
      <c r="U18" s="113"/>
      <c r="W18" s="33"/>
      <c r="X18" s="52" t="s">
        <v>250</v>
      </c>
      <c r="Y18" s="66" t="s">
        <v>287</v>
      </c>
      <c r="Z18" s="9" t="s">
        <v>35</v>
      </c>
      <c r="AA18" s="70">
        <v>0.66500000000000004</v>
      </c>
      <c r="AB18" s="114"/>
      <c r="AD18" s="33"/>
      <c r="AE18" s="41" t="s">
        <v>150</v>
      </c>
      <c r="AF18" s="10" t="s">
        <v>98</v>
      </c>
      <c r="AG18" s="9" t="s">
        <v>35</v>
      </c>
      <c r="AH18" s="72">
        <f>+$E$8+$E$11</f>
        <v>7.21</v>
      </c>
      <c r="AI18" s="113"/>
    </row>
    <row r="19" spans="1:35" ht="18" x14ac:dyDescent="0.35">
      <c r="A19" s="21"/>
      <c r="B19" s="156" t="s">
        <v>43</v>
      </c>
      <c r="C19" s="157"/>
      <c r="D19" s="157"/>
      <c r="E19" s="70"/>
      <c r="F19" s="114"/>
      <c r="I19" s="33"/>
      <c r="J19" s="45" t="str">
        <f>+IF($E$6="O Bridge x 25000V AC (Interal)","O Bridge Limit",IF($E$6="O Bridge x 25000V AC (External)","O Bridge Limit",IF($E$6="O Bridge x 3000V AC","O Bridge Limit","")))</f>
        <v>O Bridge Limit</v>
      </c>
      <c r="K19" s="149" t="str">
        <f>+IF(J19="O Bridge Limit", "di &gt; dg + dtrk", " ")</f>
        <v>di &gt; dg + dtrk</v>
      </c>
      <c r="L19" s="150"/>
      <c r="M19" s="140">
        <f>IF($J$19="O Bridge Limit",$E$8+$E$11, " ")</f>
        <v>7.21</v>
      </c>
      <c r="N19" s="141"/>
      <c r="P19" s="33"/>
      <c r="Q19" s="45" t="str">
        <f>+IF($E$6="O Bridge x 25000V AC (Interal)","O Bridge Limit",IF($E$6="O Bridge x 25000V AC (External)","O Bridge Limit",IF($E$6="O Bridge x 3000V AC","O Bridge Limit","")))</f>
        <v>O Bridge Limit</v>
      </c>
      <c r="R19" s="149" t="str">
        <f>+IF(Q19="O Bridge Limit", "di &gt; dg + dtrk", " ")</f>
        <v>di &gt; dg + dtrk</v>
      </c>
      <c r="S19" s="150"/>
      <c r="T19" s="140">
        <f>IF($J$19="O Bridge Limit",$E$8+$E$11, " ")</f>
        <v>7.21</v>
      </c>
      <c r="U19" s="141"/>
      <c r="W19" s="33"/>
      <c r="X19" s="46" t="s">
        <v>115</v>
      </c>
      <c r="Y19" s="11" t="s">
        <v>102</v>
      </c>
      <c r="Z19" s="9" t="s">
        <v>40</v>
      </c>
      <c r="AA19" s="117">
        <f>+AA17/AA18</f>
        <v>8.8721804511278197</v>
      </c>
      <c r="AB19" s="118"/>
      <c r="AD19" s="33"/>
      <c r="AE19" s="52" t="s">
        <v>93</v>
      </c>
      <c r="AF19" s="10" t="s">
        <v>94</v>
      </c>
      <c r="AG19" s="9" t="s">
        <v>35</v>
      </c>
      <c r="AH19" s="82">
        <v>4</v>
      </c>
      <c r="AI19" s="83"/>
    </row>
    <row r="20" spans="1:35" ht="18" x14ac:dyDescent="0.35">
      <c r="A20" s="21"/>
      <c r="B20" s="138"/>
      <c r="C20" s="10" t="s">
        <v>37</v>
      </c>
      <c r="D20" s="9" t="s">
        <v>34</v>
      </c>
      <c r="E20" s="72">
        <f>+IF(Wind!E15=1,Tables!D13,IF(Wind!E15=2,Tables!D14,IF(Wind!E15=3,Tables!D15,IF(Wind!E15=4,Tables!D16,IF(Wind!E15=5,Tables!D17,IF(Wind!E15=6,Tables!D18,IF(Wind!E15=7,Tables!D19,IF(Wind!E15=8,Tables!D20,Tables!D21))))))))</f>
        <v>25</v>
      </c>
      <c r="F20" s="113"/>
      <c r="I20" s="33"/>
      <c r="J20" s="45"/>
      <c r="K20" s="10" t="s">
        <v>99</v>
      </c>
      <c r="L20" s="9" t="s">
        <v>35</v>
      </c>
      <c r="M20" s="72">
        <f>+$E$11</f>
        <v>0.36</v>
      </c>
      <c r="N20" s="113"/>
      <c r="P20" s="33"/>
      <c r="Q20" s="45"/>
      <c r="R20" s="10" t="s">
        <v>99</v>
      </c>
      <c r="S20" s="9" t="s">
        <v>35</v>
      </c>
      <c r="T20" s="72">
        <f>+$E$11</f>
        <v>0.36</v>
      </c>
      <c r="U20" s="113"/>
      <c r="W20" s="33"/>
      <c r="X20" s="52" t="s">
        <v>241</v>
      </c>
      <c r="Y20" s="10" t="s">
        <v>80</v>
      </c>
      <c r="Z20" s="9" t="s">
        <v>40</v>
      </c>
      <c r="AA20" s="117">
        <f>+IF(AA19&lt;4,(-0.3*(AA19-4)+1.3),1.3)</f>
        <v>1.3</v>
      </c>
      <c r="AB20" s="118"/>
      <c r="AD20" s="33"/>
      <c r="AE20" s="45"/>
      <c r="AF20" s="10" t="s">
        <v>99</v>
      </c>
      <c r="AG20" s="9" t="s">
        <v>35</v>
      </c>
      <c r="AH20" s="72">
        <f>+$E$11</f>
        <v>0.36</v>
      </c>
      <c r="AI20" s="113"/>
    </row>
    <row r="21" spans="1:35" ht="18.600000000000001" thickBot="1" x14ac:dyDescent="0.4">
      <c r="A21" s="21"/>
      <c r="B21" s="138"/>
      <c r="C21" s="10" t="s">
        <v>38</v>
      </c>
      <c r="D21" s="9" t="s">
        <v>35</v>
      </c>
      <c r="E21" s="72">
        <f>+IF(Wind!E15=1,Tables!E13,IF(Wind!E15=2,Tables!E14,IF(Wind!E15=3,Tables!E15,IF(Wind!E15=4,Tables!E16,IF(Wind!E15=5,Tables!E17,IF(Wind!E15=6,Tables!E18,IF(Wind!E15=7,Tables!E19,IF(Wind!E15=8,Tables!E20,Tables!E21))))))))</f>
        <v>1000</v>
      </c>
      <c r="F21" s="113"/>
      <c r="I21" s="33"/>
      <c r="J21" s="45"/>
      <c r="K21" s="10" t="s">
        <v>100</v>
      </c>
      <c r="L21" s="9" t="s">
        <v>35</v>
      </c>
      <c r="M21" s="70">
        <v>0.55000000000000004</v>
      </c>
      <c r="N21" s="114"/>
      <c r="P21" s="33"/>
      <c r="Q21" s="45"/>
      <c r="R21" s="10" t="s">
        <v>100</v>
      </c>
      <c r="S21" s="9" t="s">
        <v>35</v>
      </c>
      <c r="T21" s="70">
        <f>+M21</f>
        <v>0.55000000000000004</v>
      </c>
      <c r="U21" s="114"/>
      <c r="W21" s="33"/>
      <c r="X21" s="42" t="s">
        <v>76</v>
      </c>
      <c r="Y21" s="64" t="s">
        <v>286</v>
      </c>
      <c r="Z21" s="13" t="s">
        <v>52</v>
      </c>
      <c r="AA21" s="75">
        <f>+$E$29*$E$38*$E$37*AA20</f>
        <v>0.82987326762868663</v>
      </c>
      <c r="AB21" s="76"/>
      <c r="AD21" s="33"/>
      <c r="AE21" s="45"/>
      <c r="AF21" s="10" t="s">
        <v>100</v>
      </c>
      <c r="AG21" s="9" t="s">
        <v>35</v>
      </c>
      <c r="AH21" s="70">
        <f>+T21</f>
        <v>0.55000000000000004</v>
      </c>
      <c r="AI21" s="114"/>
    </row>
    <row r="22" spans="1:35" ht="18.600000000000001" thickBot="1" x14ac:dyDescent="0.4">
      <c r="A22" s="21"/>
      <c r="B22" s="138"/>
      <c r="C22" s="10" t="s">
        <v>33</v>
      </c>
      <c r="D22" s="9" t="s">
        <v>40</v>
      </c>
      <c r="E22" s="72">
        <f>+IF(Wind!E15=1,Tables!F13,IF(Wind!E15=2,Tables!F14,IF(Wind!E15=3,Tables!F15,IF(Wind!E15=4,Tables!F16,IF(Wind!E15=5,Tables!F17,IF(Wind!E15=6,Tables!F18,IF(Wind!E15=7,Tables!F19,IF(Wind!E15=8,Tables!F20,Tables!F21))))))))</f>
        <v>0.4</v>
      </c>
      <c r="F22" s="113"/>
      <c r="I22" s="33"/>
      <c r="J22" s="45"/>
      <c r="K22" s="10" t="s">
        <v>101</v>
      </c>
      <c r="L22" s="9" t="s">
        <v>35</v>
      </c>
      <c r="M22" s="115">
        <v>0.66500000000000004</v>
      </c>
      <c r="N22" s="116"/>
      <c r="P22" s="33"/>
      <c r="Q22" s="45"/>
      <c r="R22" s="10" t="s">
        <v>101</v>
      </c>
      <c r="S22" s="9" t="s">
        <v>35</v>
      </c>
      <c r="T22" s="73">
        <f>+M22</f>
        <v>0.66500000000000004</v>
      </c>
      <c r="U22" s="92"/>
      <c r="W22" s="40" t="s">
        <v>251</v>
      </c>
      <c r="X22" s="108" t="s">
        <v>252</v>
      </c>
      <c r="Y22" s="109"/>
      <c r="Z22" s="109"/>
      <c r="AA22" s="109"/>
      <c r="AB22" s="110"/>
      <c r="AD22" s="33"/>
      <c r="AE22" s="45"/>
      <c r="AF22" s="10" t="s">
        <v>101</v>
      </c>
      <c r="AG22" s="9" t="s">
        <v>35</v>
      </c>
      <c r="AH22" s="115">
        <f>+T22</f>
        <v>0.66500000000000004</v>
      </c>
      <c r="AI22" s="116"/>
    </row>
    <row r="23" spans="1:35" ht="18" x14ac:dyDescent="0.35">
      <c r="A23" s="21"/>
      <c r="B23" s="43" t="s">
        <v>41</v>
      </c>
      <c r="C23" s="10" t="s">
        <v>42</v>
      </c>
      <c r="D23" s="9" t="s">
        <v>40</v>
      </c>
      <c r="E23" s="126">
        <f>+IF(E18&lt;E21,1,IF(E18&lt;1500,1+(E22*((E18/E21)-1))))</f>
        <v>1</v>
      </c>
      <c r="F23" s="127"/>
      <c r="I23" s="33"/>
      <c r="J23" s="41" t="s">
        <v>96</v>
      </c>
      <c r="K23" s="10" t="s">
        <v>97</v>
      </c>
      <c r="L23" s="9" t="s">
        <v>35</v>
      </c>
      <c r="M23" s="72">
        <f>IF(J19="O Bridge Limit",M19+M21+M22,M18+M22)</f>
        <v>8.4250000000000007</v>
      </c>
      <c r="N23" s="113"/>
      <c r="P23" s="33"/>
      <c r="Q23" s="41" t="s">
        <v>96</v>
      </c>
      <c r="R23" s="10" t="s">
        <v>97</v>
      </c>
      <c r="S23" s="9" t="s">
        <v>35</v>
      </c>
      <c r="T23" s="72">
        <f>IF(Q19="O Bridge Limit",T19+T21+T22,T18+T22)</f>
        <v>8.4250000000000007</v>
      </c>
      <c r="U23" s="113"/>
      <c r="W23" s="33"/>
      <c r="X23" s="41" t="s">
        <v>122</v>
      </c>
      <c r="Y23" s="10" t="s">
        <v>123</v>
      </c>
      <c r="Z23" s="9" t="s">
        <v>35</v>
      </c>
      <c r="AA23" s="82">
        <f>+M22</f>
        <v>0.66500000000000004</v>
      </c>
      <c r="AB23" s="83"/>
      <c r="AD23" s="33"/>
      <c r="AE23" s="41" t="s">
        <v>96</v>
      </c>
      <c r="AF23" s="10" t="s">
        <v>97</v>
      </c>
      <c r="AG23" s="9" t="s">
        <v>35</v>
      </c>
      <c r="AH23" s="71">
        <f>+AH19+AH20+AH22</f>
        <v>5.0250000000000004</v>
      </c>
      <c r="AI23" s="113"/>
    </row>
    <row r="24" spans="1:35" ht="18" x14ac:dyDescent="0.35">
      <c r="A24" s="21"/>
      <c r="B24" s="43" t="s">
        <v>39</v>
      </c>
      <c r="C24" s="10" t="s">
        <v>44</v>
      </c>
      <c r="D24" s="9" t="s">
        <v>34</v>
      </c>
      <c r="E24" s="126">
        <f>+E20*E23</f>
        <v>25</v>
      </c>
      <c r="F24" s="127"/>
      <c r="I24" s="33"/>
      <c r="J24" s="46" t="s">
        <v>115</v>
      </c>
      <c r="K24" s="11" t="s">
        <v>102</v>
      </c>
      <c r="L24" s="9" t="s">
        <v>40</v>
      </c>
      <c r="M24" s="142">
        <f>+M17/M23</f>
        <v>0.70029673590504449</v>
      </c>
      <c r="N24" s="143"/>
      <c r="P24" s="33"/>
      <c r="Q24" s="46" t="s">
        <v>115</v>
      </c>
      <c r="R24" s="11" t="s">
        <v>102</v>
      </c>
      <c r="S24" s="9" t="s">
        <v>40</v>
      </c>
      <c r="T24" s="117">
        <f>+T17/T23</f>
        <v>0.70029673590504449</v>
      </c>
      <c r="U24" s="118"/>
      <c r="W24" s="33"/>
      <c r="X24" s="79" t="s">
        <v>177</v>
      </c>
      <c r="Y24" s="80"/>
      <c r="Z24" s="81"/>
      <c r="AA24" s="82"/>
      <c r="AB24" s="83"/>
      <c r="AD24" s="33"/>
      <c r="AE24" s="46" t="s">
        <v>115</v>
      </c>
      <c r="AF24" s="11" t="s">
        <v>102</v>
      </c>
      <c r="AG24" s="9" t="s">
        <v>40</v>
      </c>
      <c r="AH24" s="117">
        <f>+AH17/AH23</f>
        <v>1.1741293532338308</v>
      </c>
      <c r="AI24" s="118"/>
    </row>
    <row r="25" spans="1:35" ht="18" x14ac:dyDescent="0.35">
      <c r="A25" s="21"/>
      <c r="B25" s="43" t="s">
        <v>45</v>
      </c>
      <c r="C25" s="10" t="s">
        <v>46</v>
      </c>
      <c r="D25" s="9" t="s">
        <v>40</v>
      </c>
      <c r="E25" s="70">
        <v>50</v>
      </c>
      <c r="F25" s="114"/>
      <c r="I25" s="33"/>
      <c r="J25" s="52" t="s">
        <v>241</v>
      </c>
      <c r="K25" s="10" t="s">
        <v>80</v>
      </c>
      <c r="L25" s="9" t="s">
        <v>40</v>
      </c>
      <c r="M25" s="117">
        <f>+IF(M24&lt;5,2.4-(1.4*(M17/(5*M23))),1)</f>
        <v>2.2039169139465873</v>
      </c>
      <c r="N25" s="118"/>
      <c r="O25" s="29"/>
      <c r="P25" s="33"/>
      <c r="Q25" s="52" t="s">
        <v>241</v>
      </c>
      <c r="R25" s="10" t="s">
        <v>80</v>
      </c>
      <c r="S25" s="9" t="s">
        <v>40</v>
      </c>
      <c r="T25" s="117">
        <f>+IF(T24&lt;5,2.4-(1.4*(T17/(5*T23))),1)</f>
        <v>2.2039169139465873</v>
      </c>
      <c r="U25" s="118"/>
      <c r="W25" s="33"/>
      <c r="X25" s="47" t="s">
        <v>116</v>
      </c>
      <c r="Y25" s="25" t="s">
        <v>119</v>
      </c>
      <c r="Z25" s="26" t="s">
        <v>77</v>
      </c>
      <c r="AA25" s="84">
        <f>2/3*AA21*AA23</f>
        <v>0.36791048198205112</v>
      </c>
      <c r="AB25" s="85"/>
      <c r="AD25" s="33"/>
      <c r="AE25" s="52" t="s">
        <v>241</v>
      </c>
      <c r="AF25" s="10" t="s">
        <v>80</v>
      </c>
      <c r="AG25" s="9" t="s">
        <v>40</v>
      </c>
      <c r="AH25" s="117">
        <f>+IF(AH24&lt;5,2.4-(1.4*(AH17/(5*AH23))),1)</f>
        <v>2.0712437810945272</v>
      </c>
      <c r="AI25" s="118"/>
    </row>
    <row r="26" spans="1:35" ht="18.600000000000001" thickBot="1" x14ac:dyDescent="0.4">
      <c r="A26" s="21"/>
      <c r="B26" s="44"/>
      <c r="C26" s="10" t="s">
        <v>47</v>
      </c>
      <c r="D26" s="9" t="s">
        <v>40</v>
      </c>
      <c r="E26" s="126">
        <f>+IF(E25=50,1,"N/A")</f>
        <v>1</v>
      </c>
      <c r="F26" s="127"/>
      <c r="I26" s="33"/>
      <c r="J26" s="42" t="s">
        <v>76</v>
      </c>
      <c r="K26" s="64" t="s">
        <v>286</v>
      </c>
      <c r="L26" s="13" t="s">
        <v>52</v>
      </c>
      <c r="M26" s="75">
        <f>+$E$29*$E$38*$E$37*M25</f>
        <v>1.4069013315069117</v>
      </c>
      <c r="N26" s="76"/>
      <c r="O26" s="29"/>
      <c r="P26" s="33"/>
      <c r="Q26" s="42" t="s">
        <v>76</v>
      </c>
      <c r="R26" s="64" t="s">
        <v>286</v>
      </c>
      <c r="S26" s="13" t="s">
        <v>52</v>
      </c>
      <c r="T26" s="75">
        <f>+$E$29*$E$38*$E$37*T25</f>
        <v>1.4069013315069117</v>
      </c>
      <c r="U26" s="76"/>
      <c r="W26" s="60"/>
      <c r="X26" s="57" t="s">
        <v>117</v>
      </c>
      <c r="Y26" s="58" t="s">
        <v>119</v>
      </c>
      <c r="Z26" s="59" t="s">
        <v>77</v>
      </c>
      <c r="AA26" s="86">
        <f>1/3*AA21*AA23</f>
        <v>0.18395524099102556</v>
      </c>
      <c r="AB26" s="87"/>
      <c r="AD26" s="33"/>
      <c r="AE26" s="42" t="s">
        <v>76</v>
      </c>
      <c r="AF26" s="64" t="s">
        <v>286</v>
      </c>
      <c r="AG26" s="13" t="s">
        <v>52</v>
      </c>
      <c r="AH26" s="75">
        <f>+$E$29*$E$38*$E$37*AH25</f>
        <v>1.3222075728250087</v>
      </c>
      <c r="AI26" s="76"/>
    </row>
    <row r="27" spans="1:35" ht="18.600000000000001" thickBot="1" x14ac:dyDescent="0.4">
      <c r="A27" s="21"/>
      <c r="B27" s="43" t="s">
        <v>75</v>
      </c>
      <c r="C27" s="10" t="s">
        <v>48</v>
      </c>
      <c r="D27" s="9" t="s">
        <v>34</v>
      </c>
      <c r="E27" s="126">
        <f>+E24*E26</f>
        <v>25</v>
      </c>
      <c r="F27" s="127"/>
      <c r="I27" s="33"/>
      <c r="J27" s="41" t="s">
        <v>131</v>
      </c>
      <c r="K27" s="10" t="s">
        <v>132</v>
      </c>
      <c r="L27" s="9" t="s">
        <v>35</v>
      </c>
      <c r="M27" s="115">
        <v>0.47799999999999998</v>
      </c>
      <c r="N27" s="116"/>
      <c r="P27" s="33"/>
      <c r="Q27" s="52" t="s">
        <v>93</v>
      </c>
      <c r="R27" s="10" t="s">
        <v>94</v>
      </c>
      <c r="S27" s="9" t="s">
        <v>35</v>
      </c>
      <c r="T27" s="82">
        <v>4</v>
      </c>
      <c r="U27" s="83"/>
      <c r="W27" s="40" t="s">
        <v>254</v>
      </c>
      <c r="X27" s="108" t="s">
        <v>253</v>
      </c>
      <c r="Y27" s="109"/>
      <c r="Z27" s="109"/>
      <c r="AA27" s="109"/>
      <c r="AB27" s="110"/>
      <c r="AD27" s="40" t="s">
        <v>249</v>
      </c>
      <c r="AE27" s="109" t="s">
        <v>245</v>
      </c>
      <c r="AF27" s="109"/>
      <c r="AG27" s="109"/>
      <c r="AH27" s="109"/>
      <c r="AI27" s="110"/>
    </row>
    <row r="28" spans="1:35" ht="18.600000000000001" thickBot="1" x14ac:dyDescent="0.4">
      <c r="A28" s="21"/>
      <c r="B28" s="43" t="s">
        <v>49</v>
      </c>
      <c r="C28" s="10" t="s">
        <v>50</v>
      </c>
      <c r="D28" s="9" t="s">
        <v>51</v>
      </c>
      <c r="E28" s="126">
        <v>1.25</v>
      </c>
      <c r="F28" s="127"/>
      <c r="I28" s="40" t="s">
        <v>242</v>
      </c>
      <c r="J28" s="108" t="s">
        <v>245</v>
      </c>
      <c r="K28" s="109"/>
      <c r="L28" s="109"/>
      <c r="M28" s="109"/>
      <c r="N28" s="110"/>
      <c r="P28" s="33"/>
      <c r="Q28" s="65" t="s">
        <v>288</v>
      </c>
      <c r="R28" s="66" t="s">
        <v>287</v>
      </c>
      <c r="S28" s="9" t="s">
        <v>35</v>
      </c>
      <c r="T28" s="93">
        <v>0.66500000000000004</v>
      </c>
      <c r="U28" s="94"/>
      <c r="W28" s="27"/>
      <c r="X28" s="41" t="s">
        <v>255</v>
      </c>
      <c r="Y28" s="10" t="s">
        <v>12</v>
      </c>
      <c r="Z28" s="9" t="s">
        <v>78</v>
      </c>
      <c r="AA28" s="73">
        <f>69.3636*1.2</f>
        <v>83.236320000000006</v>
      </c>
      <c r="AB28" s="92"/>
      <c r="AD28" s="33"/>
      <c r="AE28" s="41" t="s">
        <v>120</v>
      </c>
      <c r="AF28" s="10" t="s">
        <v>121</v>
      </c>
      <c r="AG28" s="9" t="s">
        <v>35</v>
      </c>
      <c r="AH28" s="82">
        <f>+AH21</f>
        <v>0.55000000000000004</v>
      </c>
      <c r="AI28" s="83"/>
    </row>
    <row r="29" spans="1:35" ht="18.600000000000001" thickBot="1" x14ac:dyDescent="0.4">
      <c r="A29" s="21"/>
      <c r="B29" s="42" t="s">
        <v>70</v>
      </c>
      <c r="C29" s="12" t="s">
        <v>69</v>
      </c>
      <c r="D29" s="13" t="s">
        <v>52</v>
      </c>
      <c r="E29" s="75">
        <f>(0.5*E28*E27^2)/1000</f>
        <v>0.390625</v>
      </c>
      <c r="F29" s="76"/>
      <c r="I29" s="33"/>
      <c r="J29" s="41" t="s">
        <v>120</v>
      </c>
      <c r="K29" s="10" t="s">
        <v>121</v>
      </c>
      <c r="L29" s="9" t="s">
        <v>35</v>
      </c>
      <c r="M29" s="72">
        <f>+M21</f>
        <v>0.55000000000000004</v>
      </c>
      <c r="N29" s="113"/>
      <c r="P29" s="33"/>
      <c r="Q29" s="41" t="s">
        <v>131</v>
      </c>
      <c r="R29" s="10" t="s">
        <v>132</v>
      </c>
      <c r="S29" s="9" t="s">
        <v>35</v>
      </c>
      <c r="T29" s="115">
        <v>0.47799999999999998</v>
      </c>
      <c r="U29" s="116"/>
      <c r="W29" s="27"/>
      <c r="X29" s="52" t="s">
        <v>256</v>
      </c>
      <c r="Y29" s="10" t="s">
        <v>257</v>
      </c>
      <c r="Z29" s="9" t="s">
        <v>78</v>
      </c>
      <c r="AA29" s="73">
        <f>34.2*7.73</f>
        <v>264.36600000000004</v>
      </c>
      <c r="AB29" s="92"/>
      <c r="AD29" s="33"/>
      <c r="AE29" s="79" t="s">
        <v>118</v>
      </c>
      <c r="AF29" s="80"/>
      <c r="AG29" s="81"/>
      <c r="AH29" s="82"/>
      <c r="AI29" s="83"/>
    </row>
    <row r="30" spans="1:35" ht="18.600000000000001" thickBot="1" x14ac:dyDescent="0.4">
      <c r="A30" s="21"/>
      <c r="B30" s="138"/>
      <c r="C30" s="10" t="s">
        <v>62</v>
      </c>
      <c r="D30" s="9" t="s">
        <v>40</v>
      </c>
      <c r="E30" s="151">
        <f>+IF(E17="I",Tables!C26,IF(E17="II",Tables!C27,IF(E17="III",Tables!C28,IF(E17="IV",Tables!C29,Tables!C30))))</f>
        <v>0.22</v>
      </c>
      <c r="F30" s="152"/>
      <c r="I30" s="33"/>
      <c r="J30" s="156" t="s">
        <v>118</v>
      </c>
      <c r="K30" s="157"/>
      <c r="L30" s="157"/>
      <c r="M30" s="70"/>
      <c r="N30" s="114"/>
      <c r="P30" s="40" t="s">
        <v>244</v>
      </c>
      <c r="Q30" s="108" t="s">
        <v>245</v>
      </c>
      <c r="R30" s="109"/>
      <c r="S30" s="109"/>
      <c r="T30" s="109"/>
      <c r="U30" s="110"/>
      <c r="W30" s="27"/>
      <c r="X30" s="52" t="s">
        <v>270</v>
      </c>
      <c r="Y30" s="62" t="s">
        <v>269</v>
      </c>
      <c r="Z30" s="9" t="s">
        <v>40</v>
      </c>
      <c r="AA30" s="71">
        <f>+AA28/AA29</f>
        <v>0.3148525907264928</v>
      </c>
      <c r="AB30" s="74"/>
      <c r="AD30" s="33"/>
      <c r="AE30" s="47" t="s">
        <v>116</v>
      </c>
      <c r="AF30" s="25" t="s">
        <v>119</v>
      </c>
      <c r="AG30" s="26" t="s">
        <v>77</v>
      </c>
      <c r="AH30" s="84">
        <f>2/3*AH26*AH28</f>
        <v>0.48480944336916987</v>
      </c>
      <c r="AI30" s="85"/>
    </row>
    <row r="31" spans="1:35" ht="18" x14ac:dyDescent="0.35">
      <c r="A31" s="21"/>
      <c r="B31" s="138"/>
      <c r="C31" s="10" t="s">
        <v>63</v>
      </c>
      <c r="D31" s="9" t="s">
        <v>35</v>
      </c>
      <c r="E31" s="151">
        <f>+IF(E17="I",Tables!D26,IF(E17="II",Tables!D27,IF(E17="III",Tables!D28,IF(E17="IV",Tables!D29,Tables!D30))))</f>
        <v>0.3</v>
      </c>
      <c r="F31" s="152"/>
      <c r="I31" s="33"/>
      <c r="J31" s="47" t="s">
        <v>116</v>
      </c>
      <c r="K31" s="25" t="s">
        <v>119</v>
      </c>
      <c r="L31" s="26" t="s">
        <v>77</v>
      </c>
      <c r="M31" s="84">
        <f>2/3*M26*M29</f>
        <v>0.5158638215525343</v>
      </c>
      <c r="N31" s="85"/>
      <c r="O31" s="29">
        <f>+M31/2</f>
        <v>0.25793191077626715</v>
      </c>
      <c r="P31" s="33"/>
      <c r="Q31" s="41" t="s">
        <v>120</v>
      </c>
      <c r="R31" s="10" t="s">
        <v>121</v>
      </c>
      <c r="S31" s="9" t="s">
        <v>35</v>
      </c>
      <c r="T31" s="82">
        <f>+T21</f>
        <v>0.55000000000000004</v>
      </c>
      <c r="U31" s="83"/>
      <c r="W31" s="27"/>
      <c r="X31" s="52" t="s">
        <v>276</v>
      </c>
      <c r="Y31" s="10" t="s">
        <v>258</v>
      </c>
      <c r="Z31" s="9" t="s">
        <v>40</v>
      </c>
      <c r="AA31" s="71">
        <v>2</v>
      </c>
      <c r="AB31" s="74"/>
      <c r="AD31" s="33"/>
      <c r="AE31" s="47" t="s">
        <v>117</v>
      </c>
      <c r="AF31" s="25" t="s">
        <v>119</v>
      </c>
      <c r="AG31" s="26" t="s">
        <v>77</v>
      </c>
      <c r="AH31" s="111">
        <f>1/3*AH26*AH28</f>
        <v>0.24240472168458493</v>
      </c>
      <c r="AI31" s="112"/>
    </row>
    <row r="32" spans="1:35" ht="18.600000000000001" thickBot="1" x14ac:dyDescent="0.4">
      <c r="A32" s="21"/>
      <c r="B32" s="138"/>
      <c r="C32" s="10" t="s">
        <v>64</v>
      </c>
      <c r="D32" s="9" t="s">
        <v>35</v>
      </c>
      <c r="E32" s="151">
        <f>+IF(E17="I",Tables!E26,IF(E17="II",Tables!E27,IF(E17="III",Tables!E28,IF(E17="IV",Tables!E29,Tables!E30))))</f>
        <v>8</v>
      </c>
      <c r="F32" s="152"/>
      <c r="I32" s="33"/>
      <c r="J32" s="47" t="s">
        <v>117</v>
      </c>
      <c r="K32" s="25" t="s">
        <v>119</v>
      </c>
      <c r="L32" s="26" t="s">
        <v>77</v>
      </c>
      <c r="M32" s="84">
        <f>1/3*M26*M29</f>
        <v>0.25793191077626715</v>
      </c>
      <c r="N32" s="85"/>
      <c r="O32" s="29">
        <f>+M32/2</f>
        <v>0.12896595538813357</v>
      </c>
      <c r="P32" s="33"/>
      <c r="Q32" s="79" t="s">
        <v>118</v>
      </c>
      <c r="R32" s="80"/>
      <c r="S32" s="81"/>
      <c r="T32" s="82"/>
      <c r="U32" s="83"/>
      <c r="V32" s="29"/>
      <c r="W32" s="27"/>
      <c r="X32" s="61" t="s">
        <v>277</v>
      </c>
      <c r="Y32" s="11" t="s">
        <v>258</v>
      </c>
      <c r="Z32" s="51" t="s">
        <v>40</v>
      </c>
      <c r="AA32" s="97">
        <v>1.6</v>
      </c>
      <c r="AB32" s="98"/>
      <c r="AD32" s="33"/>
      <c r="AE32" s="41" t="s">
        <v>122</v>
      </c>
      <c r="AF32" s="10" t="s">
        <v>123</v>
      </c>
      <c r="AG32" s="9" t="s">
        <v>35</v>
      </c>
      <c r="AH32" s="82">
        <f>+AH22</f>
        <v>0.66500000000000004</v>
      </c>
      <c r="AI32" s="83"/>
    </row>
    <row r="33" spans="1:35" ht="18.600000000000001" thickBot="1" x14ac:dyDescent="0.4">
      <c r="A33" s="23">
        <v>3</v>
      </c>
      <c r="B33" s="131" t="s">
        <v>67</v>
      </c>
      <c r="C33" s="132"/>
      <c r="D33" s="132"/>
      <c r="E33" s="132"/>
      <c r="F33" s="133"/>
      <c r="I33" s="33"/>
      <c r="J33" s="41" t="s">
        <v>122</v>
      </c>
      <c r="K33" s="10" t="s">
        <v>123</v>
      </c>
      <c r="L33" s="9" t="s">
        <v>35</v>
      </c>
      <c r="M33" s="72">
        <f>+M22</f>
        <v>0.66500000000000004</v>
      </c>
      <c r="N33" s="113"/>
      <c r="O33" s="29"/>
      <c r="P33" s="33"/>
      <c r="Q33" s="47" t="s">
        <v>116</v>
      </c>
      <c r="R33" s="25" t="s">
        <v>119</v>
      </c>
      <c r="S33" s="26" t="s">
        <v>77</v>
      </c>
      <c r="T33" s="84">
        <f>2/3*T26*T31</f>
        <v>0.5158638215525343</v>
      </c>
      <c r="U33" s="85"/>
      <c r="V33" s="29"/>
      <c r="W33" s="27"/>
      <c r="X33" s="99" t="e" vm="5">
        <v>#VALUE!</v>
      </c>
      <c r="Y33" s="100"/>
      <c r="Z33" s="100"/>
      <c r="AA33" s="100"/>
      <c r="AB33" s="101"/>
      <c r="AD33" s="33"/>
      <c r="AE33" s="79" t="s">
        <v>177</v>
      </c>
      <c r="AF33" s="80"/>
      <c r="AG33" s="81"/>
      <c r="AH33" s="88"/>
      <c r="AI33" s="89"/>
    </row>
    <row r="34" spans="1:35" ht="18" x14ac:dyDescent="0.35">
      <c r="A34" s="21"/>
      <c r="B34" s="52" t="s">
        <v>233</v>
      </c>
      <c r="C34" s="53" t="s">
        <v>234</v>
      </c>
      <c r="D34" s="9" t="s">
        <v>35</v>
      </c>
      <c r="E34" s="77">
        <v>0</v>
      </c>
      <c r="F34" s="78"/>
      <c r="I34" s="33"/>
      <c r="J34" s="156" t="s">
        <v>177</v>
      </c>
      <c r="K34" s="157"/>
      <c r="L34" s="157"/>
      <c r="M34" s="70"/>
      <c r="N34" s="114"/>
      <c r="O34" s="29"/>
      <c r="P34" s="33"/>
      <c r="Q34" s="47" t="s">
        <v>117</v>
      </c>
      <c r="R34" s="25" t="s">
        <v>119</v>
      </c>
      <c r="S34" s="26" t="s">
        <v>77</v>
      </c>
      <c r="T34" s="84">
        <f>1/3*T26*T31</f>
        <v>0.25793191077626715</v>
      </c>
      <c r="U34" s="85"/>
      <c r="W34" s="27"/>
      <c r="X34" s="102"/>
      <c r="Y34" s="103"/>
      <c r="Z34" s="103"/>
      <c r="AA34" s="103"/>
      <c r="AB34" s="104"/>
      <c r="AD34" s="33"/>
      <c r="AE34" s="65" t="s">
        <v>288</v>
      </c>
      <c r="AF34" s="66" t="s">
        <v>287</v>
      </c>
      <c r="AG34" s="9" t="s">
        <v>35</v>
      </c>
      <c r="AH34" s="93">
        <v>0.66500000000000004</v>
      </c>
      <c r="AI34" s="94"/>
    </row>
    <row r="35" spans="1:35" ht="18" x14ac:dyDescent="0.35">
      <c r="A35" s="21"/>
      <c r="B35" s="41" t="s">
        <v>71</v>
      </c>
      <c r="C35" s="10" t="s">
        <v>72</v>
      </c>
      <c r="D35" s="9" t="s">
        <v>35</v>
      </c>
      <c r="E35" s="142">
        <f>+E34+E8</f>
        <v>6.85</v>
      </c>
      <c r="F35" s="143"/>
      <c r="I35" s="33"/>
      <c r="J35" s="47" t="s">
        <v>116</v>
      </c>
      <c r="K35" s="25" t="s">
        <v>124</v>
      </c>
      <c r="L35" s="26" t="s">
        <v>77</v>
      </c>
      <c r="M35" s="84">
        <f>2/3*M26*M33</f>
        <v>0.62372625696806416</v>
      </c>
      <c r="N35" s="85"/>
      <c r="O35" s="29">
        <f>+M35/2</f>
        <v>0.31186312848403208</v>
      </c>
      <c r="P35" s="33"/>
      <c r="Q35" s="41" t="s">
        <v>122</v>
      </c>
      <c r="R35" s="10" t="s">
        <v>123</v>
      </c>
      <c r="S35" s="9" t="s">
        <v>35</v>
      </c>
      <c r="T35" s="82">
        <f>+T22</f>
        <v>0.66500000000000004</v>
      </c>
      <c r="U35" s="83"/>
      <c r="W35" s="27"/>
      <c r="X35" s="102"/>
      <c r="Y35" s="103"/>
      <c r="Z35" s="103"/>
      <c r="AA35" s="103"/>
      <c r="AB35" s="104"/>
      <c r="AD35" s="33"/>
      <c r="AE35" s="52" t="s">
        <v>243</v>
      </c>
      <c r="AF35" s="10" t="s">
        <v>196</v>
      </c>
      <c r="AG35" s="9" t="s">
        <v>77</v>
      </c>
      <c r="AH35" s="82">
        <f>+AH26*AH19</f>
        <v>5.2888302913000347</v>
      </c>
      <c r="AI35" s="83"/>
    </row>
    <row r="36" spans="1:35" ht="18.600000000000001" thickBot="1" x14ac:dyDescent="0.4">
      <c r="A36" s="21"/>
      <c r="B36" s="41" t="s">
        <v>66</v>
      </c>
      <c r="C36" s="10" t="s">
        <v>65</v>
      </c>
      <c r="D36" s="9" t="s">
        <v>40</v>
      </c>
      <c r="E36" s="117">
        <v>1</v>
      </c>
      <c r="F36" s="118"/>
      <c r="I36" s="33"/>
      <c r="J36" s="47" t="s">
        <v>117</v>
      </c>
      <c r="K36" s="25" t="s">
        <v>124</v>
      </c>
      <c r="L36" s="26" t="s">
        <v>77</v>
      </c>
      <c r="M36" s="84">
        <f>1/3*M26*M33</f>
        <v>0.31186312848403208</v>
      </c>
      <c r="N36" s="85"/>
      <c r="O36" s="29">
        <f>+M36/2</f>
        <v>0.15593156424201604</v>
      </c>
      <c r="P36" s="33"/>
      <c r="Q36" s="79" t="s">
        <v>177</v>
      </c>
      <c r="R36" s="80"/>
      <c r="S36" s="81"/>
      <c r="T36" s="88"/>
      <c r="U36" s="89"/>
      <c r="W36" s="27"/>
      <c r="X36" s="102"/>
      <c r="Y36" s="103"/>
      <c r="Z36" s="103"/>
      <c r="AA36" s="103"/>
      <c r="AB36" s="104"/>
      <c r="AD36" s="33"/>
      <c r="AE36" s="47" t="s">
        <v>194</v>
      </c>
      <c r="AF36" s="25" t="s">
        <v>195</v>
      </c>
      <c r="AG36" s="26" t="s">
        <v>77</v>
      </c>
      <c r="AH36" s="84">
        <f>+AH35/2</f>
        <v>2.6444151456500173</v>
      </c>
      <c r="AI36" s="85"/>
    </row>
    <row r="37" spans="1:35" ht="18.600000000000001" thickBot="1" x14ac:dyDescent="0.4">
      <c r="A37" s="21"/>
      <c r="B37" s="41" t="s">
        <v>68</v>
      </c>
      <c r="C37" s="10" t="s">
        <v>79</v>
      </c>
      <c r="D37" s="9" t="s">
        <v>40</v>
      </c>
      <c r="E37" s="117">
        <f>+IF(E35&gt;E32,((E30^2)*E36*LN(E35/E31)*(7+(E36*LN(E35/E31)))),((E30^2)*E36*LN(E32/E31)*(7+(E36*LN(E32/E31)))))</f>
        <v>1.6342119731764906</v>
      </c>
      <c r="F37" s="118"/>
      <c r="I37" s="40" t="s">
        <v>247</v>
      </c>
      <c r="J37" s="108" t="s">
        <v>246</v>
      </c>
      <c r="K37" s="109"/>
      <c r="L37" s="109"/>
      <c r="M37" s="109"/>
      <c r="N37" s="110"/>
      <c r="P37" s="33"/>
      <c r="Q37" s="52" t="s">
        <v>243</v>
      </c>
      <c r="R37" s="10" t="s">
        <v>196</v>
      </c>
      <c r="S37" s="9" t="s">
        <v>77</v>
      </c>
      <c r="T37" s="82">
        <f>+T26*T27</f>
        <v>5.6276053260276466</v>
      </c>
      <c r="U37" s="83"/>
      <c r="W37" s="27"/>
      <c r="X37" s="102"/>
      <c r="Y37" s="103"/>
      <c r="Z37" s="103"/>
      <c r="AA37" s="103"/>
      <c r="AB37" s="104"/>
      <c r="AD37" s="33"/>
      <c r="AE37" s="41" t="s">
        <v>129</v>
      </c>
      <c r="AF37" s="10" t="s">
        <v>130</v>
      </c>
      <c r="AG37" s="9" t="s">
        <v>35</v>
      </c>
      <c r="AH37" s="82">
        <f>AH34+AH20+(AH19/2)</f>
        <v>3.0249999999999999</v>
      </c>
      <c r="AI37" s="83"/>
    </row>
    <row r="38" spans="1:35" ht="18" x14ac:dyDescent="0.35">
      <c r="A38" s="21"/>
      <c r="B38" s="41" t="s">
        <v>74</v>
      </c>
      <c r="C38" s="10" t="s">
        <v>73</v>
      </c>
      <c r="D38" s="9" t="s">
        <v>40</v>
      </c>
      <c r="E38" s="117">
        <v>1</v>
      </c>
      <c r="F38" s="118"/>
      <c r="I38" s="33"/>
      <c r="J38" s="41" t="s">
        <v>127</v>
      </c>
      <c r="K38" s="10" t="s">
        <v>126</v>
      </c>
      <c r="L38" s="9" t="s">
        <v>77</v>
      </c>
      <c r="M38" s="71">
        <f>+M26*(E11+E8)</f>
        <v>10.143758600164833</v>
      </c>
      <c r="N38" s="74"/>
      <c r="P38" s="33"/>
      <c r="Q38" s="47" t="s">
        <v>194</v>
      </c>
      <c r="R38" s="25" t="s">
        <v>195</v>
      </c>
      <c r="S38" s="26" t="s">
        <v>77</v>
      </c>
      <c r="T38" s="84">
        <f>+T37/2</f>
        <v>2.8138026630138233</v>
      </c>
      <c r="U38" s="85"/>
      <c r="W38" s="27"/>
      <c r="X38" s="102"/>
      <c r="Y38" s="103"/>
      <c r="Z38" s="103"/>
      <c r="AA38" s="103"/>
      <c r="AB38" s="104"/>
      <c r="AD38" s="33"/>
      <c r="AE38" s="41" t="s">
        <v>197</v>
      </c>
      <c r="AF38" s="10" t="s">
        <v>198</v>
      </c>
      <c r="AG38" s="9" t="s">
        <v>199</v>
      </c>
      <c r="AH38" s="82">
        <f>+AH37*AH36</f>
        <v>7.9993558155913025</v>
      </c>
      <c r="AI38" s="83"/>
    </row>
    <row r="39" spans="1:35" ht="18.600000000000001" thickBot="1" x14ac:dyDescent="0.4">
      <c r="A39" s="22"/>
      <c r="B39" s="54" t="s">
        <v>76</v>
      </c>
      <c r="C39" s="64" t="s">
        <v>286</v>
      </c>
      <c r="D39" s="55" t="s">
        <v>52</v>
      </c>
      <c r="E39" s="162">
        <f>+E29*E38*E37</f>
        <v>0.63836405202206659</v>
      </c>
      <c r="F39" s="163"/>
      <c r="I39" s="33"/>
      <c r="J39" s="47" t="s">
        <v>133</v>
      </c>
      <c r="K39" s="25" t="s">
        <v>128</v>
      </c>
      <c r="L39" s="26" t="s">
        <v>77</v>
      </c>
      <c r="M39" s="84">
        <f>+M38/2</f>
        <v>5.0718793000824167</v>
      </c>
      <c r="N39" s="85"/>
      <c r="P39" s="33"/>
      <c r="Q39" s="41" t="s">
        <v>129</v>
      </c>
      <c r="R39" s="66" t="s">
        <v>293</v>
      </c>
      <c r="S39" s="9" t="s">
        <v>35</v>
      </c>
      <c r="T39" s="82">
        <f>T28+T20+(T27/2)</f>
        <v>3.0249999999999999</v>
      </c>
      <c r="U39" s="83"/>
      <c r="W39" s="27"/>
      <c r="X39" s="105"/>
      <c r="Y39" s="106"/>
      <c r="Z39" s="106"/>
      <c r="AA39" s="106"/>
      <c r="AB39" s="107"/>
      <c r="AD39" s="33"/>
      <c r="AE39" s="41" t="s">
        <v>129</v>
      </c>
      <c r="AF39" s="66" t="s">
        <v>292</v>
      </c>
      <c r="AG39" s="9" t="s">
        <v>35</v>
      </c>
      <c r="AH39" s="77">
        <v>0.4</v>
      </c>
      <c r="AI39" s="78"/>
    </row>
    <row r="40" spans="1:35" ht="18.600000000000001" thickBot="1" x14ac:dyDescent="0.4">
      <c r="A40" s="40">
        <v>4</v>
      </c>
      <c r="B40" s="131" t="s">
        <v>190</v>
      </c>
      <c r="C40" s="132"/>
      <c r="D40" s="132"/>
      <c r="E40" s="132"/>
      <c r="F40" s="133"/>
      <c r="I40" s="33"/>
      <c r="J40" s="41" t="s">
        <v>129</v>
      </c>
      <c r="K40" s="10" t="s">
        <v>130</v>
      </c>
      <c r="L40" s="9" t="s">
        <v>35</v>
      </c>
      <c r="M40" s="71">
        <f>+(E11+E8+M27)/2</f>
        <v>3.8439999999999999</v>
      </c>
      <c r="N40" s="74"/>
      <c r="P40" s="33"/>
      <c r="Q40" s="41" t="s">
        <v>197</v>
      </c>
      <c r="R40" s="66" t="s">
        <v>289</v>
      </c>
      <c r="S40" s="9" t="s">
        <v>199</v>
      </c>
      <c r="T40" s="82">
        <f>+T39*T38</f>
        <v>8.5117530556168148</v>
      </c>
      <c r="U40" s="83"/>
      <c r="W40" s="27"/>
      <c r="X40" s="41" t="s">
        <v>259</v>
      </c>
      <c r="Y40" s="10" t="s">
        <v>83</v>
      </c>
      <c r="Z40" s="9" t="s">
        <v>35</v>
      </c>
      <c r="AA40" s="73">
        <v>43</v>
      </c>
      <c r="AB40" s="92"/>
      <c r="AD40" s="33"/>
      <c r="AE40" s="47" t="s">
        <v>290</v>
      </c>
      <c r="AF40" s="25" t="s">
        <v>291</v>
      </c>
      <c r="AG40" s="26" t="s">
        <v>77</v>
      </c>
      <c r="AH40" s="84">
        <f>+AH38/AH39</f>
        <v>19.998389538978255</v>
      </c>
      <c r="AI40" s="85"/>
    </row>
    <row r="41" spans="1:35" ht="18" x14ac:dyDescent="0.35">
      <c r="A41" s="33"/>
      <c r="B41" s="147" t="s">
        <v>191</v>
      </c>
      <c r="C41" s="148"/>
      <c r="D41" s="148"/>
      <c r="E41" s="177" t="s">
        <v>92</v>
      </c>
      <c r="F41" s="178"/>
      <c r="I41" s="33"/>
      <c r="J41" s="41" t="s">
        <v>200</v>
      </c>
      <c r="K41" s="10" t="s">
        <v>136</v>
      </c>
      <c r="L41" s="9" t="s">
        <v>35</v>
      </c>
      <c r="M41" s="71">
        <v>1.52</v>
      </c>
      <c r="N41" s="74"/>
      <c r="P41" s="33"/>
      <c r="Q41" s="41" t="s">
        <v>129</v>
      </c>
      <c r="R41" s="66" t="s">
        <v>292</v>
      </c>
      <c r="S41" s="9" t="s">
        <v>35</v>
      </c>
      <c r="T41" s="77">
        <v>0.4</v>
      </c>
      <c r="U41" s="78"/>
      <c r="W41" s="27"/>
      <c r="X41" s="52" t="s">
        <v>265</v>
      </c>
      <c r="Y41" s="53" t="s">
        <v>266</v>
      </c>
      <c r="Z41" s="9" t="s">
        <v>35</v>
      </c>
      <c r="AA41" s="73">
        <v>9.6</v>
      </c>
      <c r="AB41" s="92"/>
      <c r="AD41" s="33"/>
      <c r="AE41" s="47" t="s">
        <v>116</v>
      </c>
      <c r="AF41" s="25" t="s">
        <v>124</v>
      </c>
      <c r="AG41" s="26" t="s">
        <v>77</v>
      </c>
      <c r="AH41" s="84">
        <f>2/3*AH26*AH32+AH36</f>
        <v>3.2305938362691045</v>
      </c>
      <c r="AI41" s="85"/>
    </row>
    <row r="42" spans="1:35" ht="18.600000000000001" thickBot="1" x14ac:dyDescent="0.4">
      <c r="A42" s="33"/>
      <c r="B42" s="41" t="s">
        <v>179</v>
      </c>
      <c r="C42" s="10" t="s">
        <v>178</v>
      </c>
      <c r="D42" s="9" t="s">
        <v>40</v>
      </c>
      <c r="E42" s="117">
        <v>0.9</v>
      </c>
      <c r="F42" s="118"/>
      <c r="I42" s="60"/>
      <c r="J42" s="57" t="s">
        <v>134</v>
      </c>
      <c r="K42" s="58" t="s">
        <v>135</v>
      </c>
      <c r="L42" s="59" t="s">
        <v>77</v>
      </c>
      <c r="M42" s="95">
        <f>+M38*M40/M41</f>
        <v>25.653031617785278</v>
      </c>
      <c r="N42" s="96"/>
      <c r="P42" s="33"/>
      <c r="Q42" s="47" t="s">
        <v>290</v>
      </c>
      <c r="R42" s="25" t="s">
        <v>291</v>
      </c>
      <c r="S42" s="26" t="s">
        <v>77</v>
      </c>
      <c r="T42" s="84">
        <f>+T40/T41</f>
        <v>21.279382639042037</v>
      </c>
      <c r="U42" s="85"/>
      <c r="W42" s="27"/>
      <c r="X42" s="79" t="s">
        <v>260</v>
      </c>
      <c r="Y42" s="80"/>
      <c r="Z42" s="81"/>
      <c r="AA42" s="88"/>
      <c r="AB42" s="89"/>
      <c r="AD42" s="60"/>
      <c r="AE42" s="57" t="s">
        <v>117</v>
      </c>
      <c r="AF42" s="58" t="s">
        <v>124</v>
      </c>
      <c r="AG42" s="59" t="s">
        <v>77</v>
      </c>
      <c r="AH42" s="95">
        <f>1/3*AH26*AH32+AH36</f>
        <v>2.9375044909595611</v>
      </c>
      <c r="AI42" s="96"/>
    </row>
    <row r="43" spans="1:35" ht="18" x14ac:dyDescent="0.35">
      <c r="A43" s="33"/>
      <c r="B43" s="41" t="s">
        <v>180</v>
      </c>
      <c r="C43" s="10" t="s">
        <v>178</v>
      </c>
      <c r="D43" s="9" t="s">
        <v>40</v>
      </c>
      <c r="E43" s="117">
        <f>+IF(M24&lt;14,0.75-(0.6*(M24/14)),0.15)</f>
        <v>0.71998728274692669</v>
      </c>
      <c r="F43" s="118"/>
      <c r="P43" s="33"/>
      <c r="Q43" s="47" t="s">
        <v>116</v>
      </c>
      <c r="R43" s="25" t="s">
        <v>124</v>
      </c>
      <c r="S43" s="26" t="s">
        <v>77</v>
      </c>
      <c r="T43" s="84">
        <f>2/3*T26*T35+T38</f>
        <v>3.4375289199818875</v>
      </c>
      <c r="U43" s="85"/>
      <c r="W43" s="27"/>
      <c r="X43" s="42" t="s">
        <v>262</v>
      </c>
      <c r="Y43" s="63" t="s">
        <v>261</v>
      </c>
      <c r="Z43" s="13" t="s">
        <v>40</v>
      </c>
      <c r="AA43" s="75">
        <f>+IF($AA$40&lt;15,AA45,IF($AA$40&gt;50,AA44,AA46))</f>
        <v>6.8083333333333336</v>
      </c>
      <c r="AB43" s="76"/>
    </row>
    <row r="44" spans="1:35" ht="18.600000000000001" thickBot="1" x14ac:dyDescent="0.4">
      <c r="A44" s="33"/>
      <c r="B44" s="42" t="s">
        <v>181</v>
      </c>
      <c r="C44" s="12" t="s">
        <v>182</v>
      </c>
      <c r="D44" s="13" t="s">
        <v>52</v>
      </c>
      <c r="E44" s="90">
        <f>+IF(E41="NO",E29*E37*E42*E38,E29*E37*E43*E38)</f>
        <v>0.57452764681985991</v>
      </c>
      <c r="F44" s="91"/>
      <c r="P44" s="33"/>
      <c r="Q44" s="47" t="s">
        <v>117</v>
      </c>
      <c r="R44" s="25" t="s">
        <v>124</v>
      </c>
      <c r="S44" s="26" t="s">
        <v>77</v>
      </c>
      <c r="T44" s="84">
        <f>1/3*T26*T35+T38</f>
        <v>3.1256657914978554</v>
      </c>
      <c r="U44" s="85"/>
      <c r="W44" s="27"/>
      <c r="X44" s="52" t="s">
        <v>264</v>
      </c>
      <c r="Y44" s="10"/>
      <c r="Z44" s="9"/>
      <c r="AA44" s="71">
        <f>MIN(1.4*($AA$40/$AA$41),70)</f>
        <v>6.270833333333333</v>
      </c>
      <c r="AB44" s="74"/>
    </row>
    <row r="45" spans="1:35" ht="18.600000000000001" thickBot="1" x14ac:dyDescent="0.4">
      <c r="A45" s="33"/>
      <c r="B45" s="41" t="s">
        <v>202</v>
      </c>
      <c r="C45" s="10" t="s">
        <v>201</v>
      </c>
      <c r="D45" s="9" t="s">
        <v>35</v>
      </c>
      <c r="E45" s="73">
        <v>4.3</v>
      </c>
      <c r="F45" s="92"/>
      <c r="P45" s="40" t="s">
        <v>248</v>
      </c>
      <c r="Q45" s="108" t="s">
        <v>246</v>
      </c>
      <c r="R45" s="109"/>
      <c r="S45" s="109"/>
      <c r="T45" s="109"/>
      <c r="U45" s="110"/>
      <c r="W45" s="27"/>
      <c r="X45" s="52" t="s">
        <v>268</v>
      </c>
      <c r="Y45" s="10"/>
      <c r="Z45" s="9"/>
      <c r="AA45" s="71">
        <f>+MIN(2*($AA$40/$AA$41),70)</f>
        <v>8.9583333333333339</v>
      </c>
      <c r="AB45" s="74"/>
    </row>
    <row r="46" spans="1:35" ht="18" x14ac:dyDescent="0.35">
      <c r="A46" s="33"/>
      <c r="B46" s="156" t="s">
        <v>183</v>
      </c>
      <c r="C46" s="157"/>
      <c r="D46" s="157"/>
      <c r="E46" s="70"/>
      <c r="F46" s="114"/>
      <c r="P46" s="33"/>
      <c r="Q46" s="41" t="s">
        <v>127</v>
      </c>
      <c r="R46" s="10" t="s">
        <v>126</v>
      </c>
      <c r="S46" s="9" t="s">
        <v>77</v>
      </c>
      <c r="T46" s="82">
        <f>+T26*(E8-T27)</f>
        <v>4.0096687947946981</v>
      </c>
      <c r="U46" s="83"/>
      <c r="W46" s="27"/>
      <c r="X46" s="52" t="s">
        <v>267</v>
      </c>
      <c r="Y46" s="10"/>
      <c r="Z46" s="9"/>
      <c r="AA46" s="71">
        <f>+(((AA44-AA45)/(50-15))*($AA$40-15))+AA45</f>
        <v>6.8083333333333336</v>
      </c>
      <c r="AB46" s="74"/>
    </row>
    <row r="47" spans="1:35" ht="18" x14ac:dyDescent="0.35">
      <c r="A47" s="33"/>
      <c r="B47" s="41" t="s">
        <v>184</v>
      </c>
      <c r="C47" s="10" t="s">
        <v>187</v>
      </c>
      <c r="D47" s="9" t="s">
        <v>77</v>
      </c>
      <c r="E47" s="71">
        <f>1.75*E44*E45</f>
        <v>4.3233205423194461</v>
      </c>
      <c r="F47" s="74"/>
      <c r="P47" s="33"/>
      <c r="Q47" s="47" t="s">
        <v>133</v>
      </c>
      <c r="R47" s="25" t="s">
        <v>128</v>
      </c>
      <c r="S47" s="26" t="s">
        <v>77</v>
      </c>
      <c r="T47" s="84">
        <f>+T46/2</f>
        <v>2.004834397397349</v>
      </c>
      <c r="U47" s="85"/>
      <c r="W47" s="27"/>
      <c r="X47" s="42" t="s">
        <v>263</v>
      </c>
      <c r="Y47" s="63" t="s">
        <v>261</v>
      </c>
      <c r="Z47" s="13" t="s">
        <v>40</v>
      </c>
      <c r="AA47" s="90">
        <f>+IF($AA$40&lt;15,AA49,IF($AA$40&gt;50,AA48,AA50))</f>
        <v>70</v>
      </c>
      <c r="AB47" s="91"/>
    </row>
    <row r="48" spans="1:35" ht="18" x14ac:dyDescent="0.35">
      <c r="A48" s="33"/>
      <c r="B48" s="41" t="s">
        <v>185</v>
      </c>
      <c r="C48" s="10" t="s">
        <v>186</v>
      </c>
      <c r="D48" s="9" t="s">
        <v>77</v>
      </c>
      <c r="E48" s="71">
        <f>0.25*E44*E45</f>
        <v>0.61761722033134936</v>
      </c>
      <c r="F48" s="74"/>
      <c r="P48" s="33"/>
      <c r="Q48" s="41" t="s">
        <v>129</v>
      </c>
      <c r="R48" s="10" t="s">
        <v>130</v>
      </c>
      <c r="S48" s="9" t="s">
        <v>35</v>
      </c>
      <c r="T48" s="82">
        <f>+((E8-T27)/2)+T29+T20+T27</f>
        <v>6.2629999999999999</v>
      </c>
      <c r="U48" s="83"/>
      <c r="W48" s="27"/>
      <c r="X48" s="52" t="s">
        <v>264</v>
      </c>
      <c r="Y48" s="10"/>
      <c r="Z48" s="9"/>
      <c r="AA48" s="71">
        <f>+MAX(0.7*($AA$40/$AA$41),70)</f>
        <v>70</v>
      </c>
      <c r="AB48" s="74"/>
    </row>
    <row r="49" spans="1:29" ht="17.399999999999999" x14ac:dyDescent="0.3">
      <c r="A49" s="33"/>
      <c r="B49" s="156" t="s">
        <v>188</v>
      </c>
      <c r="C49" s="157"/>
      <c r="D49" s="157"/>
      <c r="E49" s="70"/>
      <c r="F49" s="114"/>
      <c r="P49" s="33"/>
      <c r="Q49" s="41" t="s">
        <v>200</v>
      </c>
      <c r="R49" s="10" t="s">
        <v>136</v>
      </c>
      <c r="S49" s="9" t="s">
        <v>35</v>
      </c>
      <c r="T49" s="71">
        <v>1.52</v>
      </c>
      <c r="U49" s="74"/>
      <c r="W49" s="27"/>
      <c r="X49" s="52" t="s">
        <v>268</v>
      </c>
      <c r="Y49" s="10"/>
      <c r="Z49" s="9"/>
      <c r="AA49" s="71">
        <f>+MAX(($AA$40/$AA$41),70)</f>
        <v>70</v>
      </c>
      <c r="AB49" s="74"/>
    </row>
    <row r="50" spans="1:29" ht="18.600000000000001" thickBot="1" x14ac:dyDescent="0.4">
      <c r="A50" s="33"/>
      <c r="B50" s="41" t="s">
        <v>184</v>
      </c>
      <c r="C50" s="10" t="s">
        <v>187</v>
      </c>
      <c r="D50" s="9" t="s">
        <v>77</v>
      </c>
      <c r="E50" s="71">
        <f>0.25*E44*E45</f>
        <v>0.61761722033134936</v>
      </c>
      <c r="F50" s="74"/>
      <c r="P50" s="60"/>
      <c r="Q50" s="57" t="s">
        <v>134</v>
      </c>
      <c r="R50" s="58" t="s">
        <v>135</v>
      </c>
      <c r="S50" s="59" t="s">
        <v>77</v>
      </c>
      <c r="T50" s="95">
        <f>+T46*T48/T49</f>
        <v>16.521418198552098</v>
      </c>
      <c r="U50" s="96"/>
      <c r="W50" s="27"/>
      <c r="X50" s="52" t="s">
        <v>267</v>
      </c>
      <c r="Y50" s="10"/>
      <c r="Z50" s="9"/>
      <c r="AA50" s="71">
        <f>+(((AA48-AA49)/(50-15))*($AA$40-15))+AA49</f>
        <v>70</v>
      </c>
      <c r="AB50" s="74"/>
    </row>
    <row r="51" spans="1:29" ht="18.600000000000001" thickBot="1" x14ac:dyDescent="0.4">
      <c r="A51" s="33"/>
      <c r="B51" s="48" t="s">
        <v>185</v>
      </c>
      <c r="C51" s="49" t="s">
        <v>186</v>
      </c>
      <c r="D51" s="39" t="s">
        <v>77</v>
      </c>
      <c r="E51" s="164">
        <f>1.75*E44*E45</f>
        <v>4.3233205423194461</v>
      </c>
      <c r="F51" s="165"/>
      <c r="W51" s="27"/>
      <c r="X51" s="79" t="s">
        <v>272</v>
      </c>
      <c r="Y51" s="80"/>
      <c r="Z51" s="81"/>
      <c r="AA51" s="93" t="s">
        <v>235</v>
      </c>
      <c r="AB51" s="94"/>
    </row>
    <row r="52" spans="1:29" ht="18" x14ac:dyDescent="0.35">
      <c r="A52" s="33"/>
      <c r="B52" s="166" t="e" vm="6">
        <v>#VALUE!</v>
      </c>
      <c r="C52" s="167"/>
      <c r="D52" s="167"/>
      <c r="E52" s="167"/>
      <c r="F52" s="168"/>
      <c r="W52" s="27"/>
      <c r="X52" s="52" t="s">
        <v>274</v>
      </c>
      <c r="Y52" s="62" t="s">
        <v>275</v>
      </c>
      <c r="Z52" s="9" t="s">
        <v>40</v>
      </c>
      <c r="AA52" s="71">
        <v>1</v>
      </c>
      <c r="AB52" s="74"/>
    </row>
    <row r="53" spans="1:29" ht="18" x14ac:dyDescent="0.35">
      <c r="A53" s="33"/>
      <c r="B53" s="169"/>
      <c r="C53" s="170"/>
      <c r="D53" s="170"/>
      <c r="E53" s="170"/>
      <c r="F53" s="171"/>
      <c r="W53" s="27"/>
      <c r="X53" s="52" t="s">
        <v>273</v>
      </c>
      <c r="Y53" s="10" t="s">
        <v>275</v>
      </c>
      <c r="Z53" s="9" t="s">
        <v>40</v>
      </c>
      <c r="AA53" s="71">
        <f>+IF(AA51="CASE 4",0.9,0.6)</f>
        <v>0.6</v>
      </c>
      <c r="AB53" s="74"/>
    </row>
    <row r="54" spans="1:29" ht="17.399999999999999" x14ac:dyDescent="0.3">
      <c r="A54" s="33"/>
      <c r="B54" s="169"/>
      <c r="C54" s="170"/>
      <c r="D54" s="170"/>
      <c r="E54" s="170"/>
      <c r="F54" s="171"/>
      <c r="W54" s="27"/>
      <c r="X54" s="79" t="s">
        <v>241</v>
      </c>
      <c r="Y54" s="80"/>
      <c r="Z54" s="81"/>
      <c r="AA54" s="88"/>
      <c r="AB54" s="89"/>
    </row>
    <row r="55" spans="1:29" ht="18" x14ac:dyDescent="0.35">
      <c r="A55" s="33"/>
      <c r="B55" s="169"/>
      <c r="C55" s="170"/>
      <c r="D55" s="170"/>
      <c r="E55" s="170"/>
      <c r="F55" s="171"/>
      <c r="W55" s="27"/>
      <c r="X55" s="52" t="s">
        <v>279</v>
      </c>
      <c r="Y55" s="10" t="s">
        <v>278</v>
      </c>
      <c r="Z55" s="9" t="s">
        <v>40</v>
      </c>
      <c r="AA55" s="71">
        <f>+MAX(AA56:AB59)</f>
        <v>2</v>
      </c>
      <c r="AB55" s="74"/>
    </row>
    <row r="56" spans="1:29" ht="17.399999999999999" x14ac:dyDescent="0.3">
      <c r="A56" s="33"/>
      <c r="B56" s="169"/>
      <c r="C56" s="170"/>
      <c r="D56" s="170"/>
      <c r="E56" s="170"/>
      <c r="F56" s="171"/>
      <c r="W56" s="27"/>
      <c r="X56" s="52" t="s">
        <v>280</v>
      </c>
      <c r="Y56" s="10"/>
      <c r="Z56" s="9" t="s">
        <v>40</v>
      </c>
      <c r="AA56" s="71">
        <f>+AA31*AA52</f>
        <v>2</v>
      </c>
      <c r="AB56" s="74"/>
    </row>
    <row r="57" spans="1:29" ht="17.399999999999999" x14ac:dyDescent="0.3">
      <c r="A57" s="33"/>
      <c r="B57" s="169"/>
      <c r="C57" s="170"/>
      <c r="D57" s="170"/>
      <c r="E57" s="170"/>
      <c r="F57" s="171"/>
      <c r="W57" s="27"/>
      <c r="X57" s="52" t="s">
        <v>281</v>
      </c>
      <c r="Y57" s="10"/>
      <c r="Z57" s="9" t="s">
        <v>40</v>
      </c>
      <c r="AA57" s="71">
        <f>+AA31*AA53</f>
        <v>1.2</v>
      </c>
      <c r="AB57" s="74"/>
    </row>
    <row r="58" spans="1:29" ht="17.399999999999999" x14ac:dyDescent="0.3">
      <c r="A58" s="33"/>
      <c r="B58" s="169"/>
      <c r="C58" s="170"/>
      <c r="D58" s="170"/>
      <c r="E58" s="170"/>
      <c r="F58" s="171"/>
      <c r="W58" s="27"/>
      <c r="X58" s="52" t="s">
        <v>282</v>
      </c>
      <c r="Y58" s="10"/>
      <c r="Z58" s="9" t="s">
        <v>40</v>
      </c>
      <c r="AA58" s="71">
        <f>+AA32*AA52</f>
        <v>1.6</v>
      </c>
      <c r="AB58" s="74"/>
    </row>
    <row r="59" spans="1:29" ht="17.399999999999999" x14ac:dyDescent="0.3">
      <c r="A59" s="33"/>
      <c r="B59" s="169"/>
      <c r="C59" s="170"/>
      <c r="D59" s="170"/>
      <c r="E59" s="170"/>
      <c r="F59" s="171"/>
      <c r="W59" s="27"/>
      <c r="X59" s="52" t="s">
        <v>283</v>
      </c>
      <c r="Y59" s="10"/>
      <c r="Z59" s="9" t="s">
        <v>40</v>
      </c>
      <c r="AA59" s="71">
        <f>+AA32*AA53</f>
        <v>0.96</v>
      </c>
      <c r="AB59" s="74"/>
    </row>
    <row r="60" spans="1:29" ht="18" thickBot="1" x14ac:dyDescent="0.35">
      <c r="A60" s="33"/>
      <c r="B60" s="169"/>
      <c r="C60" s="170"/>
      <c r="D60" s="170"/>
      <c r="E60" s="170"/>
      <c r="F60" s="171"/>
      <c r="W60" s="27"/>
      <c r="X60" s="42" t="s">
        <v>76</v>
      </c>
      <c r="Y60" s="64" t="s">
        <v>286</v>
      </c>
      <c r="Z60" s="13" t="s">
        <v>52</v>
      </c>
      <c r="AA60" s="75">
        <f>+$E$29*$E$38*$E$37*AA55</f>
        <v>1.2767281040441332</v>
      </c>
      <c r="AB60" s="76"/>
    </row>
    <row r="61" spans="1:29" ht="18.600000000000001" thickBot="1" x14ac:dyDescent="0.4">
      <c r="A61" s="33"/>
      <c r="B61" s="172"/>
      <c r="C61" s="173"/>
      <c r="D61" s="173"/>
      <c r="E61" s="173"/>
      <c r="F61" s="174"/>
      <c r="W61" s="27"/>
      <c r="X61" s="52" t="s">
        <v>285</v>
      </c>
      <c r="Y61" s="10" t="s">
        <v>123</v>
      </c>
      <c r="Z61" s="9" t="s">
        <v>35</v>
      </c>
      <c r="AA61" s="77">
        <v>0.45</v>
      </c>
      <c r="AB61" s="78"/>
    </row>
    <row r="62" spans="1:29" ht="17.399999999999999" x14ac:dyDescent="0.3">
      <c r="A62" s="33"/>
      <c r="B62" s="200" t="s">
        <v>203</v>
      </c>
      <c r="C62" s="201"/>
      <c r="D62" s="201"/>
      <c r="E62" s="175"/>
      <c r="F62" s="176"/>
      <c r="W62" s="27"/>
      <c r="X62" s="79" t="s">
        <v>284</v>
      </c>
      <c r="Y62" s="80"/>
      <c r="Z62" s="81"/>
      <c r="AA62" s="82"/>
      <c r="AB62" s="83"/>
    </row>
    <row r="63" spans="1:29" ht="18" x14ac:dyDescent="0.35">
      <c r="A63" s="33"/>
      <c r="B63" s="37"/>
      <c r="C63" s="34" t="s">
        <v>204</v>
      </c>
      <c r="D63" s="9" t="s">
        <v>35</v>
      </c>
      <c r="E63" s="158">
        <v>1</v>
      </c>
      <c r="F63" s="159"/>
      <c r="W63" s="27"/>
      <c r="X63" s="47" t="s">
        <v>116</v>
      </c>
      <c r="Y63" s="25" t="s">
        <v>119</v>
      </c>
      <c r="Z63" s="26" t="s">
        <v>77</v>
      </c>
      <c r="AA63" s="84">
        <f>2/3*AA60*AA61</f>
        <v>0.38301843121323997</v>
      </c>
      <c r="AB63" s="85"/>
    </row>
    <row r="64" spans="1:29" ht="18.600000000000001" thickBot="1" x14ac:dyDescent="0.4">
      <c r="A64" s="33"/>
      <c r="B64" s="37"/>
      <c r="C64" s="34" t="s">
        <v>206</v>
      </c>
      <c r="D64" s="9" t="s">
        <v>35</v>
      </c>
      <c r="E64" s="158">
        <v>0.84</v>
      </c>
      <c r="F64" s="159"/>
      <c r="W64" s="28"/>
      <c r="X64" s="57" t="s">
        <v>117</v>
      </c>
      <c r="Y64" s="58" t="s">
        <v>119</v>
      </c>
      <c r="Z64" s="59" t="s">
        <v>77</v>
      </c>
      <c r="AA64" s="86">
        <f>1/3*AA59*AA61</f>
        <v>0.14399999999999999</v>
      </c>
      <c r="AB64" s="87"/>
    </row>
    <row r="65" spans="1:6" ht="17.399999999999999" x14ac:dyDescent="0.3">
      <c r="A65" s="33"/>
      <c r="B65" s="37"/>
      <c r="C65" s="34" t="s">
        <v>207</v>
      </c>
      <c r="D65" s="9" t="s">
        <v>35</v>
      </c>
      <c r="E65" s="158">
        <v>1.52</v>
      </c>
      <c r="F65" s="159"/>
    </row>
    <row r="66" spans="1:6" ht="17.399999999999999" x14ac:dyDescent="0.3">
      <c r="A66" s="33"/>
      <c r="B66" s="37"/>
      <c r="C66" s="34" t="s">
        <v>205</v>
      </c>
      <c r="D66" s="9" t="s">
        <v>35</v>
      </c>
      <c r="E66" s="158">
        <v>0.84</v>
      </c>
      <c r="F66" s="159"/>
    </row>
    <row r="67" spans="1:6" ht="17.399999999999999" x14ac:dyDescent="0.3">
      <c r="A67" s="33"/>
      <c r="B67" s="37"/>
      <c r="C67" s="34" t="s">
        <v>208</v>
      </c>
      <c r="D67" s="9" t="s">
        <v>35</v>
      </c>
      <c r="E67" s="158">
        <v>1</v>
      </c>
      <c r="F67" s="159"/>
    </row>
    <row r="68" spans="1:6" ht="17.399999999999999" x14ac:dyDescent="0.3">
      <c r="A68" s="33"/>
      <c r="B68" s="156" t="s">
        <v>209</v>
      </c>
      <c r="C68" s="157"/>
      <c r="D68" s="157"/>
      <c r="E68" s="72"/>
      <c r="F68" s="113"/>
    </row>
    <row r="69" spans="1:6" ht="17.399999999999999" x14ac:dyDescent="0.3">
      <c r="A69" s="33"/>
      <c r="B69" s="37"/>
      <c r="C69" s="34" t="s">
        <v>210</v>
      </c>
      <c r="D69" s="9" t="s">
        <v>35</v>
      </c>
      <c r="E69" s="158">
        <v>0.2</v>
      </c>
      <c r="F69" s="159"/>
    </row>
    <row r="70" spans="1:6" ht="17.399999999999999" x14ac:dyDescent="0.3">
      <c r="A70" s="33"/>
      <c r="B70" s="37"/>
      <c r="C70" s="34" t="s">
        <v>211</v>
      </c>
      <c r="D70" s="9" t="s">
        <v>35</v>
      </c>
      <c r="E70" s="160">
        <f>+E69+E63</f>
        <v>1.2</v>
      </c>
      <c r="F70" s="161"/>
    </row>
    <row r="71" spans="1:6" ht="17.399999999999999" x14ac:dyDescent="0.3">
      <c r="A71" s="33"/>
      <c r="B71" s="37"/>
      <c r="C71" s="34" t="s">
        <v>212</v>
      </c>
      <c r="D71" s="9" t="s">
        <v>35</v>
      </c>
      <c r="E71" s="160">
        <f>+E70+E64</f>
        <v>2.04</v>
      </c>
      <c r="F71" s="161"/>
    </row>
    <row r="72" spans="1:6" ht="17.399999999999999" x14ac:dyDescent="0.3">
      <c r="A72" s="33"/>
      <c r="B72" s="37"/>
      <c r="C72" s="34" t="s">
        <v>213</v>
      </c>
      <c r="D72" s="9" t="s">
        <v>35</v>
      </c>
      <c r="E72" s="160">
        <f t="shared" ref="E72:E74" si="0">+E71+E65</f>
        <v>3.56</v>
      </c>
      <c r="F72" s="161"/>
    </row>
    <row r="73" spans="1:6" ht="17.399999999999999" x14ac:dyDescent="0.3">
      <c r="A73" s="33"/>
      <c r="B73" s="37"/>
      <c r="C73" s="34" t="s">
        <v>214</v>
      </c>
      <c r="D73" s="9" t="s">
        <v>35</v>
      </c>
      <c r="E73" s="160">
        <f t="shared" si="0"/>
        <v>4.4000000000000004</v>
      </c>
      <c r="F73" s="161"/>
    </row>
    <row r="74" spans="1:6" ht="17.399999999999999" x14ac:dyDescent="0.3">
      <c r="A74" s="33"/>
      <c r="B74" s="30"/>
      <c r="C74" s="34" t="s">
        <v>215</v>
      </c>
      <c r="D74" s="9" t="s">
        <v>35</v>
      </c>
      <c r="E74" s="160">
        <f t="shared" si="0"/>
        <v>5.4</v>
      </c>
      <c r="F74" s="161"/>
    </row>
    <row r="75" spans="1:6" ht="17.399999999999999" x14ac:dyDescent="0.3">
      <c r="A75" s="33"/>
      <c r="B75" s="156" t="s">
        <v>223</v>
      </c>
      <c r="C75" s="157"/>
      <c r="D75" s="157"/>
      <c r="E75" s="72"/>
      <c r="F75" s="113"/>
    </row>
    <row r="76" spans="1:6" ht="17.399999999999999" x14ac:dyDescent="0.3">
      <c r="A76" s="33"/>
      <c r="B76" s="37"/>
      <c r="C76" s="194" t="s">
        <v>222</v>
      </c>
      <c r="D76" s="195"/>
      <c r="E76" s="192">
        <f>+(0.25-E77)/(E74-E69)</f>
        <v>-0.28846153846153844</v>
      </c>
      <c r="F76" s="193"/>
    </row>
    <row r="77" spans="1:6" ht="17.399999999999999" x14ac:dyDescent="0.3">
      <c r="A77" s="33"/>
      <c r="B77" s="37"/>
      <c r="C77" s="34" t="s">
        <v>225</v>
      </c>
      <c r="D77" s="9" t="s">
        <v>35</v>
      </c>
      <c r="E77" s="160">
        <v>1.75</v>
      </c>
      <c r="F77" s="161"/>
    </row>
    <row r="78" spans="1:6" ht="17.399999999999999" x14ac:dyDescent="0.3">
      <c r="A78" s="33"/>
      <c r="B78" s="37"/>
      <c r="C78" s="34" t="s">
        <v>226</v>
      </c>
      <c r="D78" s="9" t="s">
        <v>35</v>
      </c>
      <c r="E78" s="190">
        <f>+($E$76*(E70-$E$69))+$E$77</f>
        <v>1.4615384615384617</v>
      </c>
      <c r="F78" s="191"/>
    </row>
    <row r="79" spans="1:6" ht="17.399999999999999" x14ac:dyDescent="0.3">
      <c r="A79" s="33"/>
      <c r="B79" s="37"/>
      <c r="C79" s="34" t="s">
        <v>227</v>
      </c>
      <c r="D79" s="9" t="s">
        <v>35</v>
      </c>
      <c r="E79" s="190">
        <f>+($E$76*(E71-$E$69))+$E$77</f>
        <v>1.2192307692307693</v>
      </c>
      <c r="F79" s="191"/>
    </row>
    <row r="80" spans="1:6" ht="17.399999999999999" x14ac:dyDescent="0.3">
      <c r="A80" s="33"/>
      <c r="B80" s="37"/>
      <c r="C80" s="34" t="s">
        <v>228</v>
      </c>
      <c r="D80" s="9" t="s">
        <v>35</v>
      </c>
      <c r="E80" s="190">
        <f>+($E$76*(E72-$E$69))+$E$77</f>
        <v>0.78076923076923088</v>
      </c>
      <c r="F80" s="191"/>
    </row>
    <row r="81" spans="1:6" ht="17.399999999999999" x14ac:dyDescent="0.3">
      <c r="A81" s="33"/>
      <c r="B81" s="37"/>
      <c r="C81" s="34" t="s">
        <v>229</v>
      </c>
      <c r="D81" s="9" t="s">
        <v>35</v>
      </c>
      <c r="E81" s="190">
        <f>+($E$76*(E73-$E$69))+$E$77</f>
        <v>0.53846153846153855</v>
      </c>
      <c r="F81" s="191"/>
    </row>
    <row r="82" spans="1:6" ht="18" thickBot="1" x14ac:dyDescent="0.35">
      <c r="A82" s="33"/>
      <c r="B82" s="30"/>
      <c r="C82" s="50" t="s">
        <v>230</v>
      </c>
      <c r="D82" s="51" t="s">
        <v>35</v>
      </c>
      <c r="E82" s="160">
        <v>0.25</v>
      </c>
      <c r="F82" s="161"/>
    </row>
    <row r="83" spans="1:6" ht="17.399999999999999" x14ac:dyDescent="0.3">
      <c r="A83" s="33"/>
      <c r="B83" s="181" t="e" vm="7">
        <v>#VALUE!</v>
      </c>
      <c r="C83" s="182"/>
      <c r="D83" s="182"/>
      <c r="E83" s="182"/>
      <c r="F83" s="183"/>
    </row>
    <row r="84" spans="1:6" ht="17.399999999999999" x14ac:dyDescent="0.3">
      <c r="A84" s="33"/>
      <c r="B84" s="184"/>
      <c r="C84" s="185"/>
      <c r="D84" s="185"/>
      <c r="E84" s="185"/>
      <c r="F84" s="186"/>
    </row>
    <row r="85" spans="1:6" ht="17.399999999999999" x14ac:dyDescent="0.3">
      <c r="A85" s="33"/>
      <c r="B85" s="184"/>
      <c r="C85" s="185"/>
      <c r="D85" s="185"/>
      <c r="E85" s="185"/>
      <c r="F85" s="186"/>
    </row>
    <row r="86" spans="1:6" ht="17.399999999999999" x14ac:dyDescent="0.3">
      <c r="A86" s="33"/>
      <c r="B86" s="184"/>
      <c r="C86" s="185"/>
      <c r="D86" s="185"/>
      <c r="E86" s="185"/>
      <c r="F86" s="186"/>
    </row>
    <row r="87" spans="1:6" ht="17.399999999999999" x14ac:dyDescent="0.3">
      <c r="A87" s="33"/>
      <c r="B87" s="184"/>
      <c r="C87" s="185"/>
      <c r="D87" s="185"/>
      <c r="E87" s="185"/>
      <c r="F87" s="186"/>
    </row>
    <row r="88" spans="1:6" ht="17.399999999999999" x14ac:dyDescent="0.3">
      <c r="A88" s="33"/>
      <c r="B88" s="184"/>
      <c r="C88" s="185"/>
      <c r="D88" s="185"/>
      <c r="E88" s="185"/>
      <c r="F88" s="186"/>
    </row>
    <row r="89" spans="1:6" ht="17.399999999999999" x14ac:dyDescent="0.3">
      <c r="A89" s="33"/>
      <c r="B89" s="184"/>
      <c r="C89" s="185"/>
      <c r="D89" s="185"/>
      <c r="E89" s="185"/>
      <c r="F89" s="186"/>
    </row>
    <row r="90" spans="1:6" ht="17.399999999999999" x14ac:dyDescent="0.3">
      <c r="A90" s="33"/>
      <c r="B90" s="184"/>
      <c r="C90" s="185"/>
      <c r="D90" s="185"/>
      <c r="E90" s="185"/>
      <c r="F90" s="186"/>
    </row>
    <row r="91" spans="1:6" ht="17.399999999999999" x14ac:dyDescent="0.3">
      <c r="A91" s="33"/>
      <c r="B91" s="184"/>
      <c r="C91" s="185"/>
      <c r="D91" s="185"/>
      <c r="E91" s="185"/>
      <c r="F91" s="186"/>
    </row>
    <row r="92" spans="1:6" ht="17.399999999999999" x14ac:dyDescent="0.3">
      <c r="A92" s="33"/>
      <c r="B92" s="184"/>
      <c r="C92" s="185"/>
      <c r="D92" s="185"/>
      <c r="E92" s="185"/>
      <c r="F92" s="186"/>
    </row>
    <row r="93" spans="1:6" ht="18" thickBot="1" x14ac:dyDescent="0.35">
      <c r="A93" s="33"/>
      <c r="B93" s="187"/>
      <c r="C93" s="188"/>
      <c r="D93" s="188"/>
      <c r="E93" s="188"/>
      <c r="F93" s="189"/>
    </row>
    <row r="94" spans="1:6" ht="17.399999999999999" x14ac:dyDescent="0.3">
      <c r="A94" s="33"/>
      <c r="B94" s="196" t="s">
        <v>224</v>
      </c>
      <c r="C94" s="197"/>
      <c r="D94" s="197"/>
      <c r="E94" s="198"/>
      <c r="F94" s="199"/>
    </row>
    <row r="95" spans="1:6" ht="17.399999999999999" x14ac:dyDescent="0.3">
      <c r="A95" s="33"/>
      <c r="B95" s="37"/>
      <c r="C95" s="34" t="s">
        <v>216</v>
      </c>
      <c r="D95" s="9" t="s">
        <v>35</v>
      </c>
      <c r="E95" s="192">
        <f t="shared" ref="E95:E100" si="1">+ROUND(E77*$E$45*$E$44,3)</f>
        <v>4.3230000000000004</v>
      </c>
      <c r="F95" s="193"/>
    </row>
    <row r="96" spans="1:6" ht="17.399999999999999" x14ac:dyDescent="0.3">
      <c r="A96" s="33"/>
      <c r="B96" s="37"/>
      <c r="C96" s="34" t="s">
        <v>217</v>
      </c>
      <c r="D96" s="9" t="s">
        <v>35</v>
      </c>
      <c r="E96" s="192">
        <f t="shared" si="1"/>
        <v>3.6110000000000002</v>
      </c>
      <c r="F96" s="193"/>
    </row>
    <row r="97" spans="1:6" ht="17.399999999999999" x14ac:dyDescent="0.3">
      <c r="A97" s="33"/>
      <c r="B97" s="37"/>
      <c r="C97" s="34" t="s">
        <v>218</v>
      </c>
      <c r="D97" s="9" t="s">
        <v>35</v>
      </c>
      <c r="E97" s="192">
        <f t="shared" si="1"/>
        <v>3.012</v>
      </c>
      <c r="F97" s="193"/>
    </row>
    <row r="98" spans="1:6" ht="17.399999999999999" x14ac:dyDescent="0.3">
      <c r="A98" s="33"/>
      <c r="B98" s="37"/>
      <c r="C98" s="34" t="s">
        <v>219</v>
      </c>
      <c r="D98" s="9" t="s">
        <v>35</v>
      </c>
      <c r="E98" s="192">
        <f t="shared" si="1"/>
        <v>1.929</v>
      </c>
      <c r="F98" s="193"/>
    </row>
    <row r="99" spans="1:6" ht="17.399999999999999" x14ac:dyDescent="0.3">
      <c r="A99" s="33"/>
      <c r="B99" s="37"/>
      <c r="C99" s="34" t="s">
        <v>220</v>
      </c>
      <c r="D99" s="9" t="s">
        <v>35</v>
      </c>
      <c r="E99" s="192">
        <f t="shared" si="1"/>
        <v>1.33</v>
      </c>
      <c r="F99" s="193"/>
    </row>
    <row r="100" spans="1:6" ht="18" thickBot="1" x14ac:dyDescent="0.35">
      <c r="A100" s="33"/>
      <c r="B100" s="32"/>
      <c r="C100" s="38" t="s">
        <v>221</v>
      </c>
      <c r="D100" s="39" t="s">
        <v>35</v>
      </c>
      <c r="E100" s="179">
        <f t="shared" si="1"/>
        <v>0.61799999999999999</v>
      </c>
      <c r="F100" s="180"/>
    </row>
    <row r="127" spans="10:10" x14ac:dyDescent="0.25">
      <c r="J127" s="29"/>
    </row>
    <row r="128" spans="10:10" x14ac:dyDescent="0.25">
      <c r="J128" s="29"/>
    </row>
    <row r="129" spans="10:10" x14ac:dyDescent="0.25">
      <c r="J129" s="29"/>
    </row>
    <row r="130" spans="10:10" x14ac:dyDescent="0.25">
      <c r="J130" s="29"/>
    </row>
    <row r="159" ht="16.2" customHeight="1" x14ac:dyDescent="0.25"/>
    <row r="262" spans="1:6" ht="17.399999999999999" x14ac:dyDescent="0.3">
      <c r="A262" s="33"/>
      <c r="B262" s="31"/>
      <c r="C262" s="35"/>
      <c r="D262" s="24"/>
      <c r="E262" s="36"/>
      <c r="F262" s="36"/>
    </row>
    <row r="263" spans="1:6" ht="17.399999999999999" x14ac:dyDescent="0.3">
      <c r="A263" s="20"/>
    </row>
    <row r="264" spans="1:6" ht="17.399999999999999" x14ac:dyDescent="0.3">
      <c r="A264" s="20"/>
    </row>
    <row r="265" spans="1:6" ht="17.399999999999999" x14ac:dyDescent="0.3">
      <c r="A265" s="20"/>
    </row>
    <row r="266" spans="1:6" ht="17.399999999999999" x14ac:dyDescent="0.3">
      <c r="A266" s="20"/>
    </row>
    <row r="267" spans="1:6" ht="17.399999999999999" x14ac:dyDescent="0.3">
      <c r="A267" s="20"/>
    </row>
    <row r="268" spans="1:6" ht="17.399999999999999" x14ac:dyDescent="0.3">
      <c r="A268" s="20"/>
    </row>
    <row r="269" spans="1:6" ht="17.399999999999999" x14ac:dyDescent="0.3">
      <c r="A269" s="20"/>
    </row>
    <row r="270" spans="1:6" ht="17.399999999999999" x14ac:dyDescent="0.3">
      <c r="A270" s="20"/>
    </row>
  </sheetData>
  <mergeCells count="255">
    <mergeCell ref="AH39:AI39"/>
    <mergeCell ref="AH40:AI40"/>
    <mergeCell ref="B94:D94"/>
    <mergeCell ref="E94:F94"/>
    <mergeCell ref="E95:F95"/>
    <mergeCell ref="E96:F96"/>
    <mergeCell ref="E97:F97"/>
    <mergeCell ref="E98:F98"/>
    <mergeCell ref="E99:F99"/>
    <mergeCell ref="E72:F72"/>
    <mergeCell ref="E73:F73"/>
    <mergeCell ref="B62:D62"/>
    <mergeCell ref="E63:F63"/>
    <mergeCell ref="E64:F64"/>
    <mergeCell ref="E65:F65"/>
    <mergeCell ref="E66:F66"/>
    <mergeCell ref="E67:F67"/>
    <mergeCell ref="E74:F74"/>
    <mergeCell ref="B68:D68"/>
    <mergeCell ref="E68:F68"/>
    <mergeCell ref="T42:U42"/>
    <mergeCell ref="T41:U41"/>
    <mergeCell ref="T49:U49"/>
    <mergeCell ref="T50:U50"/>
    <mergeCell ref="E100:F100"/>
    <mergeCell ref="B83:F93"/>
    <mergeCell ref="B75:D75"/>
    <mergeCell ref="E75:F75"/>
    <mergeCell ref="E77:F77"/>
    <mergeCell ref="E78:F78"/>
    <mergeCell ref="E79:F79"/>
    <mergeCell ref="E80:F80"/>
    <mergeCell ref="E81:F81"/>
    <mergeCell ref="E82:F82"/>
    <mergeCell ref="E76:F76"/>
    <mergeCell ref="C76:D76"/>
    <mergeCell ref="E69:F69"/>
    <mergeCell ref="E70:F70"/>
    <mergeCell ref="E71:F71"/>
    <mergeCell ref="E39:F39"/>
    <mergeCell ref="T43:U43"/>
    <mergeCell ref="T44:U44"/>
    <mergeCell ref="T47:U47"/>
    <mergeCell ref="T35:U35"/>
    <mergeCell ref="E49:F49"/>
    <mergeCell ref="E50:F50"/>
    <mergeCell ref="E51:F51"/>
    <mergeCell ref="M42:N42"/>
    <mergeCell ref="M41:N41"/>
    <mergeCell ref="M39:N39"/>
    <mergeCell ref="T48:U48"/>
    <mergeCell ref="T46:U46"/>
    <mergeCell ref="E47:F47"/>
    <mergeCell ref="E48:F48"/>
    <mergeCell ref="B52:F61"/>
    <mergeCell ref="E62:F62"/>
    <mergeCell ref="B49:D49"/>
    <mergeCell ref="B41:D41"/>
    <mergeCell ref="E41:F41"/>
    <mergeCell ref="B40:F40"/>
    <mergeCell ref="E42:F42"/>
    <mergeCell ref="E43:F43"/>
    <mergeCell ref="E44:F44"/>
    <mergeCell ref="B46:D46"/>
    <mergeCell ref="E46:F46"/>
    <mergeCell ref="E45:F45"/>
    <mergeCell ref="M40:N40"/>
    <mergeCell ref="M36:N36"/>
    <mergeCell ref="J37:N37"/>
    <mergeCell ref="M38:N38"/>
    <mergeCell ref="E38:F38"/>
    <mergeCell ref="E37:F37"/>
    <mergeCell ref="B19:D19"/>
    <mergeCell ref="B20:B22"/>
    <mergeCell ref="E6:F6"/>
    <mergeCell ref="E7:F7"/>
    <mergeCell ref="M27:N27"/>
    <mergeCell ref="M31:N31"/>
    <mergeCell ref="M32:N32"/>
    <mergeCell ref="M35:N35"/>
    <mergeCell ref="J28:N28"/>
    <mergeCell ref="J30:L30"/>
    <mergeCell ref="M30:N30"/>
    <mergeCell ref="M29:N29"/>
    <mergeCell ref="M33:N33"/>
    <mergeCell ref="J34:L34"/>
    <mergeCell ref="M34:N34"/>
    <mergeCell ref="E24:F24"/>
    <mergeCell ref="E20:F20"/>
    <mergeCell ref="E21:F21"/>
    <mergeCell ref="E27:F27"/>
    <mergeCell ref="E28:F28"/>
    <mergeCell ref="E35:F35"/>
    <mergeCell ref="B33:F33"/>
    <mergeCell ref="E34:F34"/>
    <mergeCell ref="E30:F30"/>
    <mergeCell ref="E31:F31"/>
    <mergeCell ref="E32:F32"/>
    <mergeCell ref="E36:F36"/>
    <mergeCell ref="B30:B32"/>
    <mergeCell ref="E29:F29"/>
    <mergeCell ref="E25:F25"/>
    <mergeCell ref="E26:F26"/>
    <mergeCell ref="I3:I13"/>
    <mergeCell ref="J3:N13"/>
    <mergeCell ref="E22:F22"/>
    <mergeCell ref="E19:F19"/>
    <mergeCell ref="E23:F23"/>
    <mergeCell ref="B3:F3"/>
    <mergeCell ref="E18:F18"/>
    <mergeCell ref="E15:F15"/>
    <mergeCell ref="E16:F16"/>
    <mergeCell ref="E17:F17"/>
    <mergeCell ref="E14:F14"/>
    <mergeCell ref="E5:F5"/>
    <mergeCell ref="B4:F4"/>
    <mergeCell ref="E8:F8"/>
    <mergeCell ref="E11:F11"/>
    <mergeCell ref="E12:F12"/>
    <mergeCell ref="B13:F13"/>
    <mergeCell ref="E10:F10"/>
    <mergeCell ref="B14:D14"/>
    <mergeCell ref="B15:D15"/>
    <mergeCell ref="B16:D16"/>
    <mergeCell ref="B6:D6"/>
    <mergeCell ref="E9:F9"/>
    <mergeCell ref="K19:L19"/>
    <mergeCell ref="T37:U37"/>
    <mergeCell ref="T36:U36"/>
    <mergeCell ref="T28:U28"/>
    <mergeCell ref="Q30:U30"/>
    <mergeCell ref="P3:P13"/>
    <mergeCell ref="Q3:U13"/>
    <mergeCell ref="M26:N26"/>
    <mergeCell ref="Q14:U14"/>
    <mergeCell ref="T15:U15"/>
    <mergeCell ref="T16:U16"/>
    <mergeCell ref="T17:U17"/>
    <mergeCell ref="T18:U18"/>
    <mergeCell ref="R19:S19"/>
    <mergeCell ref="T19:U19"/>
    <mergeCell ref="T20:U20"/>
    <mergeCell ref="T21:U21"/>
    <mergeCell ref="J14:N14"/>
    <mergeCell ref="Q45:U45"/>
    <mergeCell ref="T29:U29"/>
    <mergeCell ref="T22:U22"/>
    <mergeCell ref="T23:U23"/>
    <mergeCell ref="T24:U24"/>
    <mergeCell ref="T25:U25"/>
    <mergeCell ref="T26:U26"/>
    <mergeCell ref="Q36:S36"/>
    <mergeCell ref="Q32:S32"/>
    <mergeCell ref="T33:U33"/>
    <mergeCell ref="T38:U38"/>
    <mergeCell ref="T39:U39"/>
    <mergeCell ref="T40:U40"/>
    <mergeCell ref="M17:N17"/>
    <mergeCell ref="M19:N19"/>
    <mergeCell ref="M15:N15"/>
    <mergeCell ref="M16:N16"/>
    <mergeCell ref="M25:N25"/>
    <mergeCell ref="M24:N24"/>
    <mergeCell ref="M23:N23"/>
    <mergeCell ref="M18:N18"/>
    <mergeCell ref="M20:N20"/>
    <mergeCell ref="M21:N21"/>
    <mergeCell ref="M22:N22"/>
    <mergeCell ref="AA19:AB19"/>
    <mergeCell ref="AA20:AB20"/>
    <mergeCell ref="AA26:AB26"/>
    <mergeCell ref="AA21:AB21"/>
    <mergeCell ref="W3:W13"/>
    <mergeCell ref="X3:AB13"/>
    <mergeCell ref="X14:AB14"/>
    <mergeCell ref="AA15:AB15"/>
    <mergeCell ref="AA16:AB16"/>
    <mergeCell ref="AA17:AB17"/>
    <mergeCell ref="AA18:AB18"/>
    <mergeCell ref="X22:AB22"/>
    <mergeCell ref="X24:Z24"/>
    <mergeCell ref="AA24:AB24"/>
    <mergeCell ref="AA25:AB25"/>
    <mergeCell ref="AA23:AB23"/>
    <mergeCell ref="AD3:AD13"/>
    <mergeCell ref="AE3:AI13"/>
    <mergeCell ref="AE14:AI14"/>
    <mergeCell ref="AH15:AI15"/>
    <mergeCell ref="AH16:AI16"/>
    <mergeCell ref="AH17:AI17"/>
    <mergeCell ref="AH18:AI18"/>
    <mergeCell ref="AE29:AG29"/>
    <mergeCell ref="AH29:AI29"/>
    <mergeCell ref="AH19:AI19"/>
    <mergeCell ref="AH31:AI31"/>
    <mergeCell ref="AH32:AI32"/>
    <mergeCell ref="AH20:AI20"/>
    <mergeCell ref="AH21:AI21"/>
    <mergeCell ref="AH22:AI22"/>
    <mergeCell ref="AH23:AI23"/>
    <mergeCell ref="AH24:AI24"/>
    <mergeCell ref="AH25:AI25"/>
    <mergeCell ref="AH26:AI26"/>
    <mergeCell ref="AH35:AI35"/>
    <mergeCell ref="AH36:AI36"/>
    <mergeCell ref="AH37:AI37"/>
    <mergeCell ref="AH38:AI38"/>
    <mergeCell ref="AH41:AI41"/>
    <mergeCell ref="AH42:AI42"/>
    <mergeCell ref="AE33:AG33"/>
    <mergeCell ref="AH33:AI33"/>
    <mergeCell ref="T27:U27"/>
    <mergeCell ref="T31:U31"/>
    <mergeCell ref="T32:U32"/>
    <mergeCell ref="T34:U34"/>
    <mergeCell ref="AA32:AB32"/>
    <mergeCell ref="X33:AB39"/>
    <mergeCell ref="AA40:AB40"/>
    <mergeCell ref="X27:AB27"/>
    <mergeCell ref="AA28:AB28"/>
    <mergeCell ref="AA29:AB29"/>
    <mergeCell ref="AA30:AB30"/>
    <mergeCell ref="AA31:AB31"/>
    <mergeCell ref="AH34:AI34"/>
    <mergeCell ref="AE27:AI27"/>
    <mergeCell ref="AH28:AI28"/>
    <mergeCell ref="AH30:AI30"/>
    <mergeCell ref="AA45:AB45"/>
    <mergeCell ref="AA47:AB47"/>
    <mergeCell ref="AA48:AB48"/>
    <mergeCell ref="AA49:AB49"/>
    <mergeCell ref="AA41:AB41"/>
    <mergeCell ref="AA46:AB46"/>
    <mergeCell ref="AA50:AB50"/>
    <mergeCell ref="X42:Z42"/>
    <mergeCell ref="X51:Z51"/>
    <mergeCell ref="AA51:AB51"/>
    <mergeCell ref="AA42:AB42"/>
    <mergeCell ref="AA43:AB43"/>
    <mergeCell ref="AA44:AB44"/>
    <mergeCell ref="AA59:AB59"/>
    <mergeCell ref="AA60:AB60"/>
    <mergeCell ref="AA61:AB61"/>
    <mergeCell ref="X62:Z62"/>
    <mergeCell ref="AA62:AB62"/>
    <mergeCell ref="AA63:AB63"/>
    <mergeCell ref="AA64:AB64"/>
    <mergeCell ref="AA52:AB52"/>
    <mergeCell ref="AA53:AB53"/>
    <mergeCell ref="X54:Z54"/>
    <mergeCell ref="AA54:AB54"/>
    <mergeCell ref="AA55:AB55"/>
    <mergeCell ref="AA56:AB56"/>
    <mergeCell ref="AA57:AB57"/>
    <mergeCell ref="AA58:AB58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3F5DC021-ACF0-4A0C-9A0A-67EA2BAB0C0A}">
          <x14:formula1>
            <xm:f>Tables!$B$6:$B$9</xm:f>
          </x14:formula1>
          <xm:sqref>E16:F16</xm:sqref>
        </x14:dataValidation>
        <x14:dataValidation type="list" allowBlank="1" showInputMessage="1" showErrorMessage="1" xr:uid="{CE4915CE-CE4D-400D-A2DE-3D57F4CB80B5}">
          <x14:formula1>
            <xm:f>Tables!$B$13:$B$21</xm:f>
          </x14:formula1>
          <xm:sqref>E15:F15</xm:sqref>
        </x14:dataValidation>
        <x14:dataValidation type="list" allowBlank="1" showInputMessage="1" showErrorMessage="1" xr:uid="{FCA6A2D1-3E6B-4B33-988F-CED2B925DE10}">
          <x14:formula1>
            <xm:f>Tables!$B$59:$B$60</xm:f>
          </x14:formula1>
          <xm:sqref>E41:F41</xm:sqref>
        </x14:dataValidation>
        <x14:dataValidation type="list" allowBlank="1" showInputMessage="1" showErrorMessage="1" xr:uid="{AC270C13-9BBF-431A-B8EA-2BC26C71AEBB}">
          <x14:formula1>
            <xm:f>Tables!$B$64:$B$68</xm:f>
          </x14:formula1>
          <xm:sqref>E6:F6</xm:sqref>
        </x14:dataValidation>
        <x14:dataValidation type="list" allowBlank="1" showInputMessage="1" showErrorMessage="1" xr:uid="{64F674CC-8B5C-4A51-B795-561786F0B7AA}">
          <x14:formula1>
            <xm:f>Tables!$B$26:$B$30</xm:f>
          </x14:formula1>
          <xm:sqref>E17:F17</xm:sqref>
        </x14:dataValidation>
        <x14:dataValidation type="list" allowBlank="1" showInputMessage="1" showErrorMessage="1" xr:uid="{9EC2818A-9BD5-478D-85B8-DEA10435E8B1}">
          <x14:formula1>
            <xm:f>Tables!$B$97:$B$100</xm:f>
          </x14:formula1>
          <xm:sqref>AA51:AB51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38D41-436D-4196-B602-0412925820A7}">
  <dimension ref="B4:G160"/>
  <sheetViews>
    <sheetView topLeftCell="A135" zoomScale="70" zoomScaleNormal="70" workbookViewId="0">
      <selection activeCell="B155" sqref="B155:B160"/>
    </sheetView>
  </sheetViews>
  <sheetFormatPr defaultRowHeight="13.8" x14ac:dyDescent="0.25"/>
  <cols>
    <col min="1" max="1" width="9" style="1"/>
    <col min="2" max="2" width="38.625" style="1" bestFit="1" customWidth="1"/>
    <col min="3" max="3" width="68.125" style="1" customWidth="1"/>
    <col min="4" max="4" width="24" style="1" bestFit="1" customWidth="1"/>
    <col min="5" max="5" width="13.625" style="15" bestFit="1" customWidth="1"/>
    <col min="6" max="6" width="6.75" style="15" customWidth="1"/>
    <col min="7" max="7" width="13" style="15" customWidth="1"/>
    <col min="8" max="16384" width="9" style="1"/>
  </cols>
  <sheetData>
    <row r="4" spans="2:6" x14ac:dyDescent="0.25">
      <c r="B4" s="6" t="s">
        <v>9</v>
      </c>
    </row>
    <row r="5" spans="2:6" x14ac:dyDescent="0.25">
      <c r="B5" s="7" t="s">
        <v>10</v>
      </c>
      <c r="C5" s="7" t="s">
        <v>11</v>
      </c>
    </row>
    <row r="6" spans="2:6" ht="27.6" x14ac:dyDescent="0.25">
      <c r="B6" s="3" t="s">
        <v>12</v>
      </c>
      <c r="C6" s="4" t="s">
        <v>15</v>
      </c>
    </row>
    <row r="7" spans="2:6" x14ac:dyDescent="0.25">
      <c r="B7" s="3" t="s">
        <v>13</v>
      </c>
      <c r="C7" s="5" t="s">
        <v>16</v>
      </c>
    </row>
    <row r="8" spans="2:6" ht="27.6" x14ac:dyDescent="0.25">
      <c r="B8" s="3" t="s">
        <v>7</v>
      </c>
      <c r="C8" s="4" t="s">
        <v>17</v>
      </c>
    </row>
    <row r="9" spans="2:6" ht="82.8" x14ac:dyDescent="0.25">
      <c r="B9" s="3" t="s">
        <v>14</v>
      </c>
      <c r="C9" s="4" t="s">
        <v>18</v>
      </c>
    </row>
    <row r="11" spans="2:6" ht="16.2" x14ac:dyDescent="0.25">
      <c r="B11" s="6" t="s">
        <v>19</v>
      </c>
    </row>
    <row r="12" spans="2:6" ht="16.2" x14ac:dyDescent="0.25">
      <c r="B12" s="7" t="s">
        <v>20</v>
      </c>
      <c r="C12" s="7" t="s">
        <v>11</v>
      </c>
      <c r="D12" s="7" t="s">
        <v>30</v>
      </c>
      <c r="E12" s="7" t="s">
        <v>31</v>
      </c>
      <c r="F12" s="7" t="s">
        <v>32</v>
      </c>
    </row>
    <row r="13" spans="2:6" ht="37.200000000000003" customHeight="1" x14ac:dyDescent="0.25">
      <c r="B13" s="3">
        <v>1</v>
      </c>
      <c r="C13" s="8" t="s">
        <v>21</v>
      </c>
      <c r="D13" s="3">
        <v>25</v>
      </c>
      <c r="E13" s="3">
        <v>1000</v>
      </c>
      <c r="F13" s="3">
        <v>0.4</v>
      </c>
    </row>
    <row r="14" spans="2:6" ht="37.200000000000003" customHeight="1" x14ac:dyDescent="0.25">
      <c r="B14" s="3">
        <v>2</v>
      </c>
      <c r="C14" s="8" t="s">
        <v>22</v>
      </c>
      <c r="D14" s="3">
        <v>25</v>
      </c>
      <c r="E14" s="3">
        <v>750</v>
      </c>
      <c r="F14" s="3">
        <v>0.45</v>
      </c>
    </row>
    <row r="15" spans="2:6" ht="37.200000000000003" customHeight="1" x14ac:dyDescent="0.25">
      <c r="B15" s="3">
        <v>3</v>
      </c>
      <c r="C15" s="8" t="s">
        <v>23</v>
      </c>
      <c r="D15" s="3">
        <v>27</v>
      </c>
      <c r="E15" s="3">
        <v>500</v>
      </c>
      <c r="F15" s="3">
        <v>0.37</v>
      </c>
    </row>
    <row r="16" spans="2:6" ht="37.200000000000003" customHeight="1" x14ac:dyDescent="0.25">
      <c r="B16" s="3">
        <v>4</v>
      </c>
      <c r="C16" s="8" t="s">
        <v>24</v>
      </c>
      <c r="D16" s="3">
        <v>28</v>
      </c>
      <c r="E16" s="3">
        <v>500</v>
      </c>
      <c r="F16" s="3">
        <v>0.36</v>
      </c>
    </row>
    <row r="17" spans="2:6" ht="37.200000000000003" customHeight="1" x14ac:dyDescent="0.25">
      <c r="B17" s="3">
        <v>5</v>
      </c>
      <c r="C17" s="8" t="s">
        <v>25</v>
      </c>
      <c r="D17" s="3">
        <v>28</v>
      </c>
      <c r="E17" s="3">
        <v>750</v>
      </c>
      <c r="F17" s="3">
        <v>0.4</v>
      </c>
    </row>
    <row r="18" spans="2:6" ht="37.200000000000003" customHeight="1" x14ac:dyDescent="0.25">
      <c r="B18" s="3">
        <v>6</v>
      </c>
      <c r="C18" s="8" t="s">
        <v>26</v>
      </c>
      <c r="D18" s="3">
        <v>28</v>
      </c>
      <c r="E18" s="3">
        <v>500</v>
      </c>
      <c r="F18" s="3">
        <v>0.36</v>
      </c>
    </row>
    <row r="19" spans="2:6" ht="37.200000000000003" customHeight="1" x14ac:dyDescent="0.25">
      <c r="B19" s="3">
        <v>7</v>
      </c>
      <c r="C19" s="8" t="s">
        <v>27</v>
      </c>
      <c r="D19" s="3">
        <v>28</v>
      </c>
      <c r="E19" s="3">
        <v>1000</v>
      </c>
      <c r="F19" s="3">
        <v>0.54</v>
      </c>
    </row>
    <row r="20" spans="2:6" ht="37.200000000000003" customHeight="1" x14ac:dyDescent="0.25">
      <c r="B20" s="3">
        <v>8</v>
      </c>
      <c r="C20" s="8" t="s">
        <v>28</v>
      </c>
      <c r="D20" s="3">
        <v>30</v>
      </c>
      <c r="E20" s="3">
        <v>1500</v>
      </c>
      <c r="F20" s="3">
        <v>0.5</v>
      </c>
    </row>
    <row r="21" spans="2:6" ht="37.200000000000003" customHeight="1" x14ac:dyDescent="0.25">
      <c r="B21" s="3">
        <v>9</v>
      </c>
      <c r="C21" s="8" t="s">
        <v>29</v>
      </c>
      <c r="D21" s="3">
        <v>31</v>
      </c>
      <c r="E21" s="3">
        <v>500</v>
      </c>
      <c r="F21" s="3">
        <v>0.32</v>
      </c>
    </row>
    <row r="24" spans="2:6" x14ac:dyDescent="0.25">
      <c r="B24" s="6" t="s">
        <v>53</v>
      </c>
    </row>
    <row r="25" spans="2:6" ht="16.2" x14ac:dyDescent="0.25">
      <c r="B25" s="7" t="s">
        <v>54</v>
      </c>
      <c r="C25" s="7" t="s">
        <v>55</v>
      </c>
      <c r="D25" s="7" t="s">
        <v>56</v>
      </c>
      <c r="E25" s="7" t="s">
        <v>57</v>
      </c>
    </row>
    <row r="26" spans="2:6" x14ac:dyDescent="0.25">
      <c r="B26" s="2" t="s">
        <v>58</v>
      </c>
      <c r="C26" s="2">
        <v>0.17</v>
      </c>
      <c r="D26" s="2">
        <v>0.01</v>
      </c>
      <c r="E26" s="2">
        <v>2</v>
      </c>
    </row>
    <row r="27" spans="2:6" x14ac:dyDescent="0.25">
      <c r="B27" s="2" t="s">
        <v>59</v>
      </c>
      <c r="C27" s="2">
        <v>0.19</v>
      </c>
      <c r="D27" s="2">
        <v>0.05</v>
      </c>
      <c r="E27" s="2">
        <v>4</v>
      </c>
    </row>
    <row r="28" spans="2:6" x14ac:dyDescent="0.25">
      <c r="B28" s="2" t="s">
        <v>8</v>
      </c>
      <c r="C28" s="2">
        <v>0.2</v>
      </c>
      <c r="D28" s="2">
        <v>0.1</v>
      </c>
      <c r="E28" s="2">
        <v>5</v>
      </c>
    </row>
    <row r="29" spans="2:6" x14ac:dyDescent="0.25">
      <c r="B29" s="2" t="s">
        <v>60</v>
      </c>
      <c r="C29" s="2">
        <v>0.22</v>
      </c>
      <c r="D29" s="2">
        <v>0.3</v>
      </c>
      <c r="E29" s="2">
        <v>8</v>
      </c>
    </row>
    <row r="30" spans="2:6" x14ac:dyDescent="0.25">
      <c r="B30" s="2" t="s">
        <v>61</v>
      </c>
      <c r="C30" s="2">
        <v>0.23</v>
      </c>
      <c r="D30" s="2">
        <v>0.7</v>
      </c>
      <c r="E30" s="2">
        <v>12</v>
      </c>
    </row>
    <row r="32" spans="2:6" ht="16.2" x14ac:dyDescent="0.25">
      <c r="B32" s="6" t="s">
        <v>103</v>
      </c>
      <c r="D32" s="15">
        <v>1</v>
      </c>
      <c r="E32" s="15">
        <v>2</v>
      </c>
    </row>
    <row r="33" spans="2:5" x14ac:dyDescent="0.25">
      <c r="C33" s="7" t="s">
        <v>104</v>
      </c>
      <c r="D33" s="7" t="s">
        <v>113</v>
      </c>
      <c r="E33" s="7" t="s">
        <v>114</v>
      </c>
    </row>
    <row r="34" spans="2:5" x14ac:dyDescent="0.25">
      <c r="B34" s="2" t="s">
        <v>12</v>
      </c>
      <c r="C34" s="2" t="s">
        <v>105</v>
      </c>
      <c r="D34" s="2" t="s">
        <v>110</v>
      </c>
      <c r="E34" s="2" t="s">
        <v>109</v>
      </c>
    </row>
    <row r="35" spans="2:5" x14ac:dyDescent="0.25">
      <c r="B35" s="2" t="s">
        <v>13</v>
      </c>
      <c r="C35" s="2" t="s">
        <v>106</v>
      </c>
      <c r="D35" s="2" t="s">
        <v>108</v>
      </c>
      <c r="E35" s="2" t="s">
        <v>111</v>
      </c>
    </row>
    <row r="36" spans="2:5" x14ac:dyDescent="0.25">
      <c r="B36" s="2" t="s">
        <v>7</v>
      </c>
      <c r="C36" s="2" t="s">
        <v>107</v>
      </c>
      <c r="D36" s="2" t="s">
        <v>109</v>
      </c>
      <c r="E36" s="2" t="s">
        <v>112</v>
      </c>
    </row>
    <row r="37" spans="2:5" x14ac:dyDescent="0.25">
      <c r="B37" s="202"/>
      <c r="C37" s="202"/>
      <c r="D37" s="202"/>
    </row>
    <row r="38" spans="2:5" x14ac:dyDescent="0.25">
      <c r="B38" s="203"/>
      <c r="C38" s="203"/>
      <c r="D38" s="203"/>
    </row>
    <row r="39" spans="2:5" x14ac:dyDescent="0.25">
      <c r="B39" s="203"/>
      <c r="C39" s="203"/>
      <c r="D39" s="203"/>
    </row>
    <row r="40" spans="2:5" x14ac:dyDescent="0.25">
      <c r="B40" s="203"/>
      <c r="C40" s="203"/>
      <c r="D40" s="203"/>
    </row>
    <row r="41" spans="2:5" x14ac:dyDescent="0.25">
      <c r="B41" s="203"/>
      <c r="C41" s="203"/>
      <c r="D41" s="203"/>
    </row>
    <row r="42" spans="2:5" x14ac:dyDescent="0.25">
      <c r="B42" s="203"/>
      <c r="C42" s="203"/>
      <c r="D42" s="203"/>
    </row>
    <row r="43" spans="2:5" x14ac:dyDescent="0.25">
      <c r="B43" s="203"/>
      <c r="C43" s="203"/>
      <c r="D43" s="203"/>
    </row>
    <row r="44" spans="2:5" x14ac:dyDescent="0.25">
      <c r="B44" s="203"/>
      <c r="C44" s="203"/>
      <c r="D44" s="203"/>
    </row>
    <row r="45" spans="2:5" x14ac:dyDescent="0.25">
      <c r="B45" s="203"/>
      <c r="C45" s="203"/>
      <c r="D45" s="203"/>
    </row>
    <row r="46" spans="2:5" x14ac:dyDescent="0.25">
      <c r="B46" s="203"/>
      <c r="C46" s="203"/>
      <c r="D46" s="203"/>
    </row>
    <row r="47" spans="2:5" x14ac:dyDescent="0.25">
      <c r="B47" s="203"/>
      <c r="C47" s="203"/>
      <c r="D47" s="203"/>
    </row>
    <row r="48" spans="2:5" x14ac:dyDescent="0.25">
      <c r="B48" s="203"/>
      <c r="C48" s="203"/>
      <c r="D48" s="203"/>
    </row>
    <row r="49" spans="2:4" x14ac:dyDescent="0.25">
      <c r="B49" s="203"/>
      <c r="C49" s="203"/>
      <c r="D49" s="203"/>
    </row>
    <row r="50" spans="2:4" x14ac:dyDescent="0.25">
      <c r="B50" s="203"/>
      <c r="C50" s="203"/>
      <c r="D50" s="203"/>
    </row>
    <row r="51" spans="2:4" x14ac:dyDescent="0.25">
      <c r="B51" s="203"/>
      <c r="C51" s="203"/>
      <c r="D51" s="203"/>
    </row>
    <row r="52" spans="2:4" x14ac:dyDescent="0.25">
      <c r="B52" s="203"/>
      <c r="C52" s="203"/>
      <c r="D52" s="203"/>
    </row>
    <row r="53" spans="2:4" x14ac:dyDescent="0.25">
      <c r="B53" s="203"/>
      <c r="C53" s="203"/>
      <c r="D53" s="203"/>
    </row>
    <row r="58" spans="2:4" x14ac:dyDescent="0.25">
      <c r="B58" s="14" t="s">
        <v>192</v>
      </c>
    </row>
    <row r="59" spans="2:4" x14ac:dyDescent="0.25">
      <c r="B59" s="2" t="s">
        <v>91</v>
      </c>
    </row>
    <row r="60" spans="2:4" x14ac:dyDescent="0.25">
      <c r="B60" s="2" t="s">
        <v>92</v>
      </c>
    </row>
    <row r="63" spans="2:4" x14ac:dyDescent="0.25">
      <c r="B63" s="6" t="s">
        <v>137</v>
      </c>
    </row>
    <row r="64" spans="2:4" x14ac:dyDescent="0.25">
      <c r="B64" s="16" t="s">
        <v>138</v>
      </c>
      <c r="C64" s="2">
        <v>6.6</v>
      </c>
    </row>
    <row r="65" spans="2:4" x14ac:dyDescent="0.25">
      <c r="B65" s="16" t="s">
        <v>139</v>
      </c>
      <c r="C65" s="2">
        <v>6.2</v>
      </c>
    </row>
    <row r="66" spans="2:4" x14ac:dyDescent="0.25">
      <c r="B66" s="16" t="s">
        <v>140</v>
      </c>
      <c r="C66" s="2">
        <v>6.85</v>
      </c>
    </row>
    <row r="67" spans="2:4" x14ac:dyDescent="0.25">
      <c r="B67" s="16" t="s">
        <v>141</v>
      </c>
      <c r="C67" s="2">
        <v>6.6</v>
      </c>
    </row>
    <row r="68" spans="2:4" x14ac:dyDescent="0.25">
      <c r="B68" s="16" t="s">
        <v>142</v>
      </c>
      <c r="C68" s="2">
        <v>6.2</v>
      </c>
    </row>
    <row r="69" spans="2:4" x14ac:dyDescent="0.25">
      <c r="B69" s="17"/>
    </row>
    <row r="70" spans="2:4" x14ac:dyDescent="0.25">
      <c r="B70" s="6"/>
    </row>
    <row r="71" spans="2:4" x14ac:dyDescent="0.25">
      <c r="B71" s="6" t="s">
        <v>152</v>
      </c>
    </row>
    <row r="72" spans="2:4" ht="16.2" x14ac:dyDescent="0.25">
      <c r="B72" s="7" t="s">
        <v>174</v>
      </c>
      <c r="C72" s="7" t="s">
        <v>176</v>
      </c>
      <c r="D72" s="7" t="s">
        <v>175</v>
      </c>
    </row>
    <row r="73" spans="2:4" x14ac:dyDescent="0.25">
      <c r="B73" s="18" t="s">
        <v>153</v>
      </c>
      <c r="C73" s="19">
        <v>58.52</v>
      </c>
      <c r="D73" s="2">
        <v>46.17</v>
      </c>
    </row>
    <row r="74" spans="2:4" x14ac:dyDescent="0.25">
      <c r="B74" s="16" t="s">
        <v>154</v>
      </c>
      <c r="C74" s="2">
        <v>58.94</v>
      </c>
      <c r="D74" s="2">
        <v>46.27</v>
      </c>
    </row>
    <row r="75" spans="2:4" x14ac:dyDescent="0.25">
      <c r="B75" s="16" t="s">
        <v>155</v>
      </c>
      <c r="C75" s="2">
        <v>59.44</v>
      </c>
      <c r="D75" s="2">
        <v>46.66</v>
      </c>
    </row>
    <row r="76" spans="2:4" x14ac:dyDescent="0.25">
      <c r="B76" s="16" t="s">
        <v>156</v>
      </c>
      <c r="C76" s="2">
        <v>59.78</v>
      </c>
      <c r="D76" s="2">
        <v>46.9</v>
      </c>
    </row>
    <row r="77" spans="2:4" x14ac:dyDescent="0.25">
      <c r="B77" s="16" t="s">
        <v>157</v>
      </c>
      <c r="C77" s="2">
        <v>62.92</v>
      </c>
      <c r="D77" s="2">
        <v>49.39</v>
      </c>
    </row>
    <row r="78" spans="2:4" x14ac:dyDescent="0.25">
      <c r="B78" s="16" t="s">
        <v>158</v>
      </c>
      <c r="C78" s="2">
        <v>62.55</v>
      </c>
      <c r="D78" s="2">
        <v>49.1</v>
      </c>
    </row>
    <row r="79" spans="2:4" x14ac:dyDescent="0.25">
      <c r="B79" s="16" t="s">
        <v>159</v>
      </c>
      <c r="C79" s="2">
        <v>62.55</v>
      </c>
      <c r="D79" s="2">
        <v>49.1</v>
      </c>
    </row>
    <row r="80" spans="2:4" x14ac:dyDescent="0.25">
      <c r="B80" s="16" t="s">
        <v>160</v>
      </c>
      <c r="C80" s="2">
        <v>62.55</v>
      </c>
      <c r="D80" s="2">
        <v>49.1</v>
      </c>
    </row>
    <row r="81" spans="2:4" x14ac:dyDescent="0.25">
      <c r="B81" s="16" t="s">
        <v>161</v>
      </c>
      <c r="C81" s="2">
        <v>64.16</v>
      </c>
      <c r="D81" s="2">
        <v>50.37</v>
      </c>
    </row>
    <row r="82" spans="2:4" x14ac:dyDescent="0.25">
      <c r="B82" s="16" t="s">
        <v>162</v>
      </c>
      <c r="C82" s="2">
        <v>63.65</v>
      </c>
      <c r="D82" s="2">
        <v>49.97</v>
      </c>
    </row>
    <row r="83" spans="2:4" x14ac:dyDescent="0.25">
      <c r="B83" s="16" t="s">
        <v>163</v>
      </c>
      <c r="C83" s="2">
        <v>63.71</v>
      </c>
      <c r="D83" s="2">
        <v>50.02</v>
      </c>
    </row>
    <row r="84" spans="2:4" x14ac:dyDescent="0.25">
      <c r="B84" s="16" t="s">
        <v>164</v>
      </c>
      <c r="C84" s="2">
        <v>63.71</v>
      </c>
      <c r="D84" s="2">
        <v>50.9</v>
      </c>
    </row>
    <row r="85" spans="2:4" x14ac:dyDescent="0.25">
      <c r="B85" s="16" t="s">
        <v>165</v>
      </c>
      <c r="C85" s="2">
        <v>63.71</v>
      </c>
      <c r="D85" s="2">
        <v>50.9</v>
      </c>
    </row>
    <row r="86" spans="2:4" x14ac:dyDescent="0.25">
      <c r="B86" s="16" t="s">
        <v>166</v>
      </c>
      <c r="C86" s="2">
        <v>64.84</v>
      </c>
      <c r="D86" s="2">
        <v>50.9</v>
      </c>
    </row>
    <row r="87" spans="2:4" x14ac:dyDescent="0.25">
      <c r="B87" s="16" t="s">
        <v>167</v>
      </c>
      <c r="C87" s="2">
        <v>64.84</v>
      </c>
      <c r="D87" s="2">
        <v>50.9</v>
      </c>
    </row>
    <row r="88" spans="2:4" x14ac:dyDescent="0.25">
      <c r="B88" s="16" t="s">
        <v>168</v>
      </c>
      <c r="C88" s="2">
        <v>69.77</v>
      </c>
      <c r="D88" s="2">
        <v>54.77</v>
      </c>
    </row>
    <row r="89" spans="2:4" x14ac:dyDescent="0.25">
      <c r="B89" s="16" t="s">
        <v>169</v>
      </c>
      <c r="C89" s="2">
        <v>68.56</v>
      </c>
      <c r="D89" s="2">
        <v>53.82</v>
      </c>
    </row>
    <row r="90" spans="2:4" x14ac:dyDescent="0.25">
      <c r="B90" s="16" t="s">
        <v>170</v>
      </c>
      <c r="C90" s="2">
        <v>64.84</v>
      </c>
      <c r="D90" s="2">
        <v>54.57</v>
      </c>
    </row>
    <row r="91" spans="2:4" x14ac:dyDescent="0.25">
      <c r="B91" s="16" t="s">
        <v>171</v>
      </c>
      <c r="C91" s="2">
        <v>64.84</v>
      </c>
      <c r="D91" s="2">
        <v>54.57</v>
      </c>
    </row>
    <row r="92" spans="2:4" x14ac:dyDescent="0.25">
      <c r="B92" s="16" t="s">
        <v>172</v>
      </c>
      <c r="C92" s="2">
        <v>71.69</v>
      </c>
      <c r="D92" s="2">
        <v>56.3</v>
      </c>
    </row>
    <row r="93" spans="2:4" x14ac:dyDescent="0.25">
      <c r="B93" s="16" t="s">
        <v>173</v>
      </c>
      <c r="C93" s="2">
        <v>76.48</v>
      </c>
      <c r="D93" s="2">
        <v>60.21</v>
      </c>
    </row>
    <row r="94" spans="2:4" x14ac:dyDescent="0.25">
      <c r="C94" s="15"/>
      <c r="D94" s="15"/>
    </row>
    <row r="96" spans="2:4" x14ac:dyDescent="0.25">
      <c r="B96" s="6" t="s">
        <v>271</v>
      </c>
    </row>
    <row r="97" spans="2:3" x14ac:dyDescent="0.25">
      <c r="B97" s="2" t="s">
        <v>231</v>
      </c>
    </row>
    <row r="98" spans="2:3" x14ac:dyDescent="0.25">
      <c r="B98" s="2" t="s">
        <v>232</v>
      </c>
    </row>
    <row r="99" spans="2:3" x14ac:dyDescent="0.25">
      <c r="B99" s="2" t="s">
        <v>235</v>
      </c>
    </row>
    <row r="100" spans="2:3" x14ac:dyDescent="0.25">
      <c r="B100" s="2" t="s">
        <v>239</v>
      </c>
    </row>
    <row r="102" spans="2:3" x14ac:dyDescent="0.25">
      <c r="B102" s="6" t="s">
        <v>306</v>
      </c>
    </row>
    <row r="103" spans="2:3" x14ac:dyDescent="0.25">
      <c r="B103" s="5" t="s">
        <v>294</v>
      </c>
      <c r="C103" s="5" t="s">
        <v>295</v>
      </c>
    </row>
    <row r="104" spans="2:3" x14ac:dyDescent="0.25">
      <c r="B104" s="5" t="s">
        <v>296</v>
      </c>
      <c r="C104" s="5">
        <v>5.6099999999999997E-2</v>
      </c>
    </row>
    <row r="105" spans="2:3" x14ac:dyDescent="0.25">
      <c r="B105" s="5" t="s">
        <v>297</v>
      </c>
      <c r="C105" s="5">
        <v>2.758</v>
      </c>
    </row>
    <row r="106" spans="2:3" x14ac:dyDescent="0.25">
      <c r="B106" s="5" t="s">
        <v>298</v>
      </c>
      <c r="C106" s="5">
        <v>0.27</v>
      </c>
    </row>
    <row r="107" spans="2:3" x14ac:dyDescent="0.25">
      <c r="B107" s="5" t="s">
        <v>300</v>
      </c>
      <c r="C107" s="5">
        <v>1</v>
      </c>
    </row>
    <row r="108" spans="2:3" x14ac:dyDescent="0.25">
      <c r="B108" s="5" t="s">
        <v>301</v>
      </c>
      <c r="C108" s="5">
        <v>1</v>
      </c>
    </row>
    <row r="109" spans="2:3" x14ac:dyDescent="0.25">
      <c r="B109" s="5" t="s">
        <v>302</v>
      </c>
      <c r="C109" s="5">
        <v>1</v>
      </c>
    </row>
    <row r="110" spans="2:3" x14ac:dyDescent="0.25">
      <c r="B110" s="5" t="s">
        <v>303</v>
      </c>
      <c r="C110" s="5">
        <v>0.09</v>
      </c>
    </row>
    <row r="111" spans="2:3" x14ac:dyDescent="0.25">
      <c r="B111" s="5" t="s">
        <v>305</v>
      </c>
      <c r="C111" s="5">
        <v>0.27</v>
      </c>
    </row>
    <row r="112" spans="2:3" x14ac:dyDescent="0.25">
      <c r="B112" s="5" t="s">
        <v>304</v>
      </c>
      <c r="C112" s="5">
        <v>1.825</v>
      </c>
    </row>
    <row r="115" spans="2:7" x14ac:dyDescent="0.25">
      <c r="B115" s="6" t="s">
        <v>307</v>
      </c>
    </row>
    <row r="116" spans="2:7" x14ac:dyDescent="0.25">
      <c r="B116" s="5" t="s">
        <v>294</v>
      </c>
      <c r="C116" s="5" t="s">
        <v>295</v>
      </c>
    </row>
    <row r="117" spans="2:7" x14ac:dyDescent="0.25">
      <c r="B117" s="5" t="s">
        <v>296</v>
      </c>
      <c r="C117" s="5">
        <v>5.6099999999999997E-2</v>
      </c>
    </row>
    <row r="118" spans="2:7" x14ac:dyDescent="0.25">
      <c r="B118" s="5" t="s">
        <v>308</v>
      </c>
      <c r="C118" s="5">
        <v>0.88300000000000001</v>
      </c>
    </row>
    <row r="119" spans="2:7" x14ac:dyDescent="0.25">
      <c r="B119" s="5" t="s">
        <v>298</v>
      </c>
      <c r="C119" s="5">
        <v>0.27</v>
      </c>
    </row>
    <row r="120" spans="2:7" x14ac:dyDescent="0.25">
      <c r="B120" s="5" t="s">
        <v>300</v>
      </c>
      <c r="C120" s="5">
        <v>1</v>
      </c>
    </row>
    <row r="121" spans="2:7" x14ac:dyDescent="0.25">
      <c r="B121" s="5" t="s">
        <v>299</v>
      </c>
      <c r="C121" s="5">
        <v>1</v>
      </c>
    </row>
    <row r="122" spans="2:7" x14ac:dyDescent="0.25">
      <c r="B122" s="5" t="s">
        <v>303</v>
      </c>
      <c r="C122" s="5">
        <v>0.05</v>
      </c>
    </row>
    <row r="123" spans="2:7" x14ac:dyDescent="0.25">
      <c r="B123" s="5" t="s">
        <v>305</v>
      </c>
      <c r="C123" s="5">
        <v>0.15</v>
      </c>
    </row>
    <row r="124" spans="2:7" x14ac:dyDescent="0.25">
      <c r="B124" s="5" t="s">
        <v>304</v>
      </c>
      <c r="C124" s="5">
        <v>1</v>
      </c>
    </row>
    <row r="127" spans="2:7" x14ac:dyDescent="0.25">
      <c r="B127" s="17" t="s">
        <v>311</v>
      </c>
      <c r="C127" s="17" t="s">
        <v>310</v>
      </c>
      <c r="D127" s="17" t="s">
        <v>312</v>
      </c>
      <c r="E127" s="15" t="s">
        <v>313</v>
      </c>
      <c r="F127" s="15" t="s">
        <v>314</v>
      </c>
      <c r="G127" s="15" t="s">
        <v>83</v>
      </c>
    </row>
    <row r="128" spans="2:7" x14ac:dyDescent="0.25">
      <c r="B128" s="68">
        <v>100</v>
      </c>
      <c r="C128" s="68">
        <v>100</v>
      </c>
      <c r="D128" s="68">
        <v>100</v>
      </c>
      <c r="E128" s="68">
        <v>80</v>
      </c>
      <c r="F128" s="68">
        <v>80</v>
      </c>
      <c r="G128" s="68" t="s">
        <v>316</v>
      </c>
    </row>
    <row r="129" spans="2:7" x14ac:dyDescent="0.25">
      <c r="B129" s="68">
        <v>120</v>
      </c>
      <c r="C129" s="68">
        <v>120</v>
      </c>
      <c r="D129" s="68">
        <v>120</v>
      </c>
      <c r="E129" s="68">
        <v>100</v>
      </c>
      <c r="F129" s="68">
        <v>100</v>
      </c>
      <c r="G129" s="68" t="s">
        <v>317</v>
      </c>
    </row>
    <row r="130" spans="2:7" x14ac:dyDescent="0.25">
      <c r="B130" s="68">
        <v>140</v>
      </c>
      <c r="C130" s="68">
        <v>140</v>
      </c>
      <c r="D130" s="68">
        <v>140</v>
      </c>
      <c r="E130" s="68">
        <v>120</v>
      </c>
      <c r="F130" s="68">
        <v>120</v>
      </c>
      <c r="G130" s="68" t="s">
        <v>318</v>
      </c>
    </row>
    <row r="131" spans="2:7" x14ac:dyDescent="0.25">
      <c r="B131" s="68">
        <v>160</v>
      </c>
      <c r="C131" s="68">
        <v>160</v>
      </c>
      <c r="D131" s="68">
        <v>160</v>
      </c>
      <c r="E131" s="68">
        <v>140</v>
      </c>
      <c r="F131" s="68">
        <v>140</v>
      </c>
      <c r="G131" s="68" t="s">
        <v>319</v>
      </c>
    </row>
    <row r="132" spans="2:7" x14ac:dyDescent="0.25">
      <c r="B132" s="68">
        <v>180</v>
      </c>
      <c r="C132" s="68">
        <v>180</v>
      </c>
      <c r="D132" s="68">
        <v>180</v>
      </c>
      <c r="E132" s="68">
        <v>160</v>
      </c>
      <c r="F132" s="68">
        <v>160</v>
      </c>
      <c r="G132" s="68" t="s">
        <v>320</v>
      </c>
    </row>
    <row r="133" spans="2:7" x14ac:dyDescent="0.25">
      <c r="B133" s="68">
        <v>200</v>
      </c>
      <c r="C133" s="68">
        <v>200</v>
      </c>
      <c r="D133" s="68">
        <v>200</v>
      </c>
      <c r="E133" s="68">
        <v>180</v>
      </c>
      <c r="F133" s="68">
        <v>180</v>
      </c>
      <c r="G133" s="68" t="s">
        <v>321</v>
      </c>
    </row>
    <row r="134" spans="2:7" x14ac:dyDescent="0.25">
      <c r="B134" s="68">
        <v>220</v>
      </c>
      <c r="C134" s="68">
        <v>220</v>
      </c>
      <c r="D134" s="68">
        <v>220</v>
      </c>
      <c r="E134" s="68">
        <v>200</v>
      </c>
      <c r="F134" s="68">
        <v>200</v>
      </c>
      <c r="G134" s="68" t="s">
        <v>322</v>
      </c>
    </row>
    <row r="135" spans="2:7" x14ac:dyDescent="0.25">
      <c r="B135" s="68">
        <v>240</v>
      </c>
      <c r="C135" s="68">
        <v>240</v>
      </c>
      <c r="D135" s="68">
        <v>240</v>
      </c>
      <c r="E135" s="68">
        <v>220</v>
      </c>
      <c r="F135" s="68">
        <v>220</v>
      </c>
      <c r="G135" s="68" t="s">
        <v>323</v>
      </c>
    </row>
    <row r="136" spans="2:7" x14ac:dyDescent="0.25">
      <c r="B136" s="68">
        <v>260</v>
      </c>
      <c r="C136" s="68">
        <v>260</v>
      </c>
      <c r="D136" s="68">
        <v>260</v>
      </c>
      <c r="E136" s="68">
        <v>240</v>
      </c>
      <c r="F136" s="68">
        <v>240</v>
      </c>
      <c r="G136" s="68" t="s">
        <v>315</v>
      </c>
    </row>
    <row r="137" spans="2:7" x14ac:dyDescent="0.25">
      <c r="B137" s="68">
        <v>280</v>
      </c>
      <c r="C137" s="68">
        <v>280</v>
      </c>
      <c r="D137" s="68">
        <v>280</v>
      </c>
      <c r="E137" s="68">
        <v>270</v>
      </c>
      <c r="F137" s="68">
        <v>260</v>
      </c>
      <c r="G137" s="68"/>
    </row>
    <row r="138" spans="2:7" x14ac:dyDescent="0.25">
      <c r="B138" s="68">
        <v>300</v>
      </c>
      <c r="C138" s="68">
        <v>300</v>
      </c>
      <c r="D138" s="68">
        <v>300</v>
      </c>
      <c r="E138" s="68">
        <v>300</v>
      </c>
      <c r="F138" s="68">
        <v>280</v>
      </c>
      <c r="G138" s="68"/>
    </row>
    <row r="139" spans="2:7" x14ac:dyDescent="0.25">
      <c r="B139" s="68">
        <v>320</v>
      </c>
      <c r="C139" s="68">
        <v>320</v>
      </c>
      <c r="D139" s="68">
        <v>320</v>
      </c>
      <c r="E139" s="68">
        <v>330</v>
      </c>
      <c r="F139" s="68">
        <v>300</v>
      </c>
      <c r="G139" s="68"/>
    </row>
    <row r="140" spans="2:7" x14ac:dyDescent="0.25">
      <c r="B140" s="68">
        <v>340</v>
      </c>
      <c r="C140" s="68">
        <v>340</v>
      </c>
      <c r="D140" s="68">
        <v>340</v>
      </c>
      <c r="E140" s="68">
        <v>360</v>
      </c>
      <c r="F140" s="68">
        <v>320</v>
      </c>
      <c r="G140" s="68"/>
    </row>
    <row r="141" spans="2:7" x14ac:dyDescent="0.25">
      <c r="B141" s="68">
        <v>360</v>
      </c>
      <c r="C141" s="68">
        <v>360</v>
      </c>
      <c r="D141" s="68">
        <v>360</v>
      </c>
      <c r="E141" s="68">
        <v>400</v>
      </c>
      <c r="F141" s="68">
        <v>340</v>
      </c>
      <c r="G141" s="68"/>
    </row>
    <row r="142" spans="2:7" x14ac:dyDescent="0.25">
      <c r="B142" s="68">
        <v>400</v>
      </c>
      <c r="C142" s="68">
        <v>400</v>
      </c>
      <c r="D142" s="68">
        <v>400</v>
      </c>
      <c r="E142" s="68">
        <v>450</v>
      </c>
      <c r="F142" s="68">
        <v>360</v>
      </c>
      <c r="G142" s="68"/>
    </row>
    <row r="143" spans="2:7" x14ac:dyDescent="0.25">
      <c r="B143" s="68">
        <v>450</v>
      </c>
      <c r="C143" s="68">
        <v>450</v>
      </c>
      <c r="D143" s="68">
        <v>450</v>
      </c>
      <c r="E143" s="68">
        <v>500</v>
      </c>
      <c r="F143" s="68">
        <v>380</v>
      </c>
      <c r="G143" s="68"/>
    </row>
    <row r="144" spans="2:7" x14ac:dyDescent="0.25">
      <c r="B144" s="68">
        <v>500</v>
      </c>
      <c r="C144" s="68">
        <v>500</v>
      </c>
      <c r="D144" s="68">
        <v>500</v>
      </c>
      <c r="E144" s="68">
        <v>550</v>
      </c>
      <c r="F144" s="68">
        <v>400</v>
      </c>
      <c r="G144" s="68"/>
    </row>
    <row r="145" spans="2:7" x14ac:dyDescent="0.25">
      <c r="B145" s="68">
        <v>550</v>
      </c>
      <c r="C145" s="68">
        <v>550</v>
      </c>
      <c r="D145" s="68">
        <v>550</v>
      </c>
      <c r="E145" s="68">
        <v>600</v>
      </c>
      <c r="F145" s="68">
        <v>450</v>
      </c>
      <c r="G145" s="68"/>
    </row>
    <row r="146" spans="2:7" x14ac:dyDescent="0.25">
      <c r="B146" s="68">
        <v>600</v>
      </c>
      <c r="C146" s="68">
        <v>600</v>
      </c>
      <c r="D146" s="68">
        <v>600</v>
      </c>
      <c r="E146" s="68"/>
      <c r="F146" s="68">
        <v>500</v>
      </c>
      <c r="G146" s="68"/>
    </row>
    <row r="147" spans="2:7" x14ac:dyDescent="0.25">
      <c r="B147" s="68">
        <v>650</v>
      </c>
      <c r="C147" s="68">
        <v>650</v>
      </c>
      <c r="D147" s="68">
        <v>650</v>
      </c>
      <c r="E147" s="68"/>
      <c r="F147" s="68">
        <v>550</v>
      </c>
      <c r="G147" s="68"/>
    </row>
    <row r="148" spans="2:7" x14ac:dyDescent="0.25">
      <c r="B148" s="68">
        <v>700</v>
      </c>
      <c r="C148" s="68">
        <v>700</v>
      </c>
      <c r="D148" s="68">
        <v>700</v>
      </c>
      <c r="E148" s="68"/>
      <c r="F148" s="68"/>
      <c r="G148" s="68"/>
    </row>
    <row r="149" spans="2:7" x14ac:dyDescent="0.25">
      <c r="B149" s="68">
        <v>800</v>
      </c>
      <c r="C149" s="68">
        <v>800</v>
      </c>
      <c r="D149" s="68">
        <v>800</v>
      </c>
      <c r="E149" s="68"/>
      <c r="F149" s="68"/>
      <c r="G149" s="68"/>
    </row>
    <row r="150" spans="2:7" x14ac:dyDescent="0.25">
      <c r="B150" s="68">
        <v>900</v>
      </c>
      <c r="C150" s="68">
        <v>900</v>
      </c>
      <c r="D150" s="68">
        <v>900</v>
      </c>
      <c r="E150" s="68"/>
      <c r="F150" s="68"/>
      <c r="G150" s="68"/>
    </row>
    <row r="151" spans="2:7" x14ac:dyDescent="0.25">
      <c r="B151" s="69">
        <v>1000</v>
      </c>
      <c r="C151" s="69">
        <v>1000</v>
      </c>
      <c r="D151" s="69">
        <v>1000</v>
      </c>
      <c r="E151" s="68"/>
      <c r="F151" s="68"/>
      <c r="G151" s="68"/>
    </row>
    <row r="154" spans="2:7" x14ac:dyDescent="0.25">
      <c r="B154" s="1" t="s">
        <v>309</v>
      </c>
    </row>
    <row r="155" spans="2:7" x14ac:dyDescent="0.25">
      <c r="B155" s="1">
        <v>0.25</v>
      </c>
    </row>
    <row r="156" spans="2:7" x14ac:dyDescent="0.25">
      <c r="B156" s="1">
        <v>0.3</v>
      </c>
    </row>
    <row r="157" spans="2:7" x14ac:dyDescent="0.25">
      <c r="B157" s="1">
        <v>0.35</v>
      </c>
    </row>
    <row r="158" spans="2:7" x14ac:dyDescent="0.25">
      <c r="B158" s="1">
        <v>0.4</v>
      </c>
    </row>
    <row r="159" spans="2:7" x14ac:dyDescent="0.25">
      <c r="B159" s="1">
        <v>0.45</v>
      </c>
    </row>
    <row r="160" spans="2:7" x14ac:dyDescent="0.25">
      <c r="B160" s="1">
        <v>0.5</v>
      </c>
    </row>
  </sheetData>
  <mergeCells count="1">
    <mergeCell ref="B37:D53"/>
  </mergeCells>
  <phoneticPr fontId="28" type="noConversion"/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S U F F 0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0 z M 0 t 9 A z s N G H C d r 4 Z u Y h F B g B H Q y S R R K 0 c S 7 N K S k t S r V L L d Z 1 9 r f R h 3 F t 9 K F + s A M A A A D / / w M A U E s D B B Q A A g A I A A A A I Q D y 0 z I 7 E Q E A A K g C A A A T A A A A R m 9 y b X V s Y X M v U 2 V j d G l v b j E u b X S R z Y q D M B S F 9 0 L f I a Q b B R E z n f / i y j L g r l B n V W W I 9 V q F m E i S M j O I 7 z 5 a 2 8 J A b z a B 7 5 z k n s M 1 c L C N k m Q 3 3 2 z t O K b m G k q y p C k v B I Q h I + 6 W H 4 E w j 5 K I C L A L h 4 x n p 0 7 6 A C P Z l l V w t h r 3 o x E Q x E p a k N a 4 N H 7 P P g 1 o k y W t V k W 2 U d 9 S K F 6 a r I b i K w y 6 s q K e T / Z J 2 w l o x y d 8 i h B R F q x o 7 v n z m F u I 6 D K x 3 y d l d M t G 8 2 G / 4 Z b n F / u S x j W X x z F / + t v B F P j s D F L N p a m U b m M l T q 2 c R O N e P / H 7 n s 6 c U Z / Y U S M W f u z g k y t / Q P g K 4 Y 8 I f 0 L 4 M 8 J f E P 6 K 8 D e E s x A T s M Y M q 8 y w z g w r z b D W 7 H / t w V s 4 j b y 7 x / U f A A A A / / 8 D A F B L A Q I t A B Q A B g A I A A A A I Q A q 3 a p A 0 g A A A D c B A A A T A A A A A A A A A A A A A A A A A A A A A A B b Q 2 9 u d G V u d F 9 U e X B l c 1 0 u e G 1 s U E s B A i 0 A F A A C A A g A A A A h A E l B R d G t A A A A 9 w A A A B I A A A A A A A A A A A A A A A A A C w M A A E N v b m Z p Z y 9 Q Y W N r Y W d l L n h t b F B L A Q I t A B Q A A g A I A A A A I Q D y 0 z I 7 E Q E A A K g C A A A T A A A A A A A A A A A A A A A A A O g D A A B G b 3 J t d W x h c y 9 T Z W N 0 a W 9 u M S 5 t U E s F B g A A A A A D A A M A w g A A A C o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Y E g A A A A A A A H Y S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V G F i b G U w M D E l M j A o U G F n Z S U y M D E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S 0 x M C 0 w M V Q w O T o 0 N z o z M y 4 z N z U x M j E 5 W i I v P j x F b n R y e S B U e X B l P S J G a W x s Q 2 9 s d W 1 u V H l w Z X M i I F Z h b H V l P S J z Q m d Z R 0 J n W U d C Z 1 l H Q m d Z R 0 J n W U d C Z z 0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E z N D h h M j V m L T Y x Y 2 Q t N G R m Z C 1 i N T c w L T U w N 2 M 0 N G I x M T B h Z i I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D E g K F B h Z 2 U g M S k v Q X V 0 b 1 J l b W 9 2 Z W R D b 2 x 1 b W 5 z M S 5 7 Q 2 9 s d W 1 u M S w w f S Z x d W 9 0 O y w m c X V v d D t T Z W N 0 a W 9 u M S 9 U Y W J s Z T A w M S A o U G F n Z S A x K S 9 B d X R v U m V t b 3 Z l Z E N v b H V t b n M x L n t D b 2 x 1 b W 4 y L D F 9 J n F 1 b 3 Q 7 L C Z x d W 9 0 O 1 N l Y 3 R p b 2 4 x L 1 R h Y m x l M D A x I C h Q Y W d l I D E p L 0 F 1 d G 9 S Z W 1 v d m V k Q 2 9 s d W 1 u c z E u e 0 N v b H V t b j M s M n 0 m c X V v d D s s J n F 1 b 3 Q 7 U 2 V j d G l v b j E v V G F i b G U w M D E g K F B h Z 2 U g M S k v Q X V 0 b 1 J l b W 9 2 Z W R D b 2 x 1 b W 5 z M S 5 7 Q 2 9 s d W 1 u N C w z f S Z x d W 9 0 O y w m c X V v d D t T Z W N 0 a W 9 u M S 9 U Y W J s Z T A w M S A o U G F n Z S A x K S 9 B d X R v U m V t b 3 Z l Z E N v b H V t b n M x L n t D b 2 x 1 b W 4 1 L D R 9 J n F 1 b 3 Q 7 L C Z x d W 9 0 O 1 N l Y 3 R p b 2 4 x L 1 R h Y m x l M D A x I C h Q Y W d l I D E p L 0 F 1 d G 9 S Z W 1 v d m V k Q 2 9 s d W 1 u c z E u e 0 N v b H V t b j Y s N X 0 m c X V v d D s s J n F 1 b 3 Q 7 U 2 V j d G l v b j E v V G F i b G U w M D E g K F B h Z 2 U g M S k v Q X V 0 b 1 J l b W 9 2 Z W R D b 2 x 1 b W 5 z M S 5 7 Q 2 9 s d W 1 u N y w 2 f S Z x d W 9 0 O y w m c X V v d D t T Z W N 0 a W 9 u M S 9 U Y W J s Z T A w M S A o U G F n Z S A x K S 9 B d X R v U m V t b 3 Z l Z E N v b H V t b n M x L n t D b 2 x 1 b W 4 4 L D d 9 J n F 1 b 3 Q 7 L C Z x d W 9 0 O 1 N l Y 3 R p b 2 4 x L 1 R h Y m x l M D A x I C h Q Y W d l I D E p L 0 F 1 d G 9 S Z W 1 v d m V k Q 2 9 s d W 1 u c z E u e 0 N v b H V t b j k s O H 0 m c X V v d D s s J n F 1 b 3 Q 7 U 2 V j d G l v b j E v V G F i b G U w M D E g K F B h Z 2 U g M S k v Q X V 0 b 1 J l b W 9 2 Z W R D b 2 x 1 b W 5 z M S 5 7 Q 2 9 s d W 1 u M T A s O X 0 m c X V v d D s s J n F 1 b 3 Q 7 U 2 V j d G l v b j E v V G F i b G U w M D E g K F B h Z 2 U g M S k v Q X V 0 b 1 J l b W 9 2 Z W R D b 2 x 1 b W 5 z M S 5 7 Q 2 9 s d W 1 u M T E s M T B 9 J n F 1 b 3 Q 7 L C Z x d W 9 0 O 1 N l Y 3 R p b 2 4 x L 1 R h Y m x l M D A x I C h Q Y W d l I D E p L 0 F 1 d G 9 S Z W 1 v d m V k Q 2 9 s d W 1 u c z E u e 0 N v b H V t b j E y L D E x f S Z x d W 9 0 O y w m c X V v d D t T Z W N 0 a W 9 u M S 9 U Y W J s Z T A w M S A o U G F n Z S A x K S 9 B d X R v U m V t b 3 Z l Z E N v b H V t b n M x L n t D b 2 x 1 b W 4 x M y w x M n 0 m c X V v d D s s J n F 1 b 3 Q 7 U 2 V j d G l v b j E v V G F i b G U w M D E g K F B h Z 2 U g M S k v Q X V 0 b 1 J l b W 9 2 Z W R D b 2 x 1 b W 5 z M S 5 7 Q 2 9 s d W 1 u M T Q s M T N 9 J n F 1 b 3 Q 7 L C Z x d W 9 0 O 1 N l Y 3 R p b 2 4 x L 1 R h Y m x l M D A x I C h Q Y W d l I D E p L 0 F 1 d G 9 S Z W 1 v d m V k Q 2 9 s d W 1 u c z E u e 0 N v b H V t b j E 1 L D E 0 f S Z x d W 9 0 O y w m c X V v d D t T Z W N 0 a W 9 u M S 9 U Y W J s Z T A w M S A o U G F n Z S A x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M D A x I C h Q Y W d l I D E p L 0 F 1 d G 9 S Z W 1 v d m V k Q 2 9 s d W 1 u c z E u e 0 N v b H V t b j E s M H 0 m c X V v d D s s J n F 1 b 3 Q 7 U 2 V j d G l v b j E v V G F i b G U w M D E g K F B h Z 2 U g M S k v Q X V 0 b 1 J l b W 9 2 Z W R D b 2 x 1 b W 5 z M S 5 7 Q 2 9 s d W 1 u M i w x f S Z x d W 9 0 O y w m c X V v d D t T Z W N 0 a W 9 u M S 9 U Y W J s Z T A w M S A o U G F n Z S A x K S 9 B d X R v U m V t b 3 Z l Z E N v b H V t b n M x L n t D b 2 x 1 b W 4 z L D J 9 J n F 1 b 3 Q 7 L C Z x d W 9 0 O 1 N l Y 3 R p b 2 4 x L 1 R h Y m x l M D A x I C h Q Y W d l I D E p L 0 F 1 d G 9 S Z W 1 v d m V k Q 2 9 s d W 1 u c z E u e 0 N v b H V t b j Q s M 3 0 m c X V v d D s s J n F 1 b 3 Q 7 U 2 V j d G l v b j E v V G F i b G U w M D E g K F B h Z 2 U g M S k v Q X V 0 b 1 J l b W 9 2 Z W R D b 2 x 1 b W 5 z M S 5 7 Q 2 9 s d W 1 u N S w 0 f S Z x d W 9 0 O y w m c X V v d D t T Z W N 0 a W 9 u M S 9 U Y W J s Z T A w M S A o U G F n Z S A x K S 9 B d X R v U m V t b 3 Z l Z E N v b H V t b n M x L n t D b 2 x 1 b W 4 2 L D V 9 J n F 1 b 3 Q 7 L C Z x d W 9 0 O 1 N l Y 3 R p b 2 4 x L 1 R h Y m x l M D A x I C h Q Y W d l I D E p L 0 F 1 d G 9 S Z W 1 v d m V k Q 2 9 s d W 1 u c z E u e 0 N v b H V t b j c s N n 0 m c X V v d D s s J n F 1 b 3 Q 7 U 2 V j d G l v b j E v V G F i b G U w M D E g K F B h Z 2 U g M S k v Q X V 0 b 1 J l b W 9 2 Z W R D b 2 x 1 b W 5 z M S 5 7 Q 2 9 s d W 1 u O C w 3 f S Z x d W 9 0 O y w m c X V v d D t T Z W N 0 a W 9 u M S 9 U Y W J s Z T A w M S A o U G F n Z S A x K S 9 B d X R v U m V t b 3 Z l Z E N v b H V t b n M x L n t D b 2 x 1 b W 4 5 L D h 9 J n F 1 b 3 Q 7 L C Z x d W 9 0 O 1 N l Y 3 R p b 2 4 x L 1 R h Y m x l M D A x I C h Q Y W d l I D E p L 0 F 1 d G 9 S Z W 1 v d m V k Q 2 9 s d W 1 u c z E u e 0 N v b H V t b j E w L D l 9 J n F 1 b 3 Q 7 L C Z x d W 9 0 O 1 N l Y 3 R p b 2 4 x L 1 R h Y m x l M D A x I C h Q Y W d l I D E p L 0 F 1 d G 9 S Z W 1 v d m V k Q 2 9 s d W 1 u c z E u e 0 N v b H V t b j E x L D E w f S Z x d W 9 0 O y w m c X V v d D t T Z W N 0 a W 9 u M S 9 U Y W J s Z T A w M S A o U G F n Z S A x K S 9 B d X R v U m V t b 3 Z l Z E N v b H V t b n M x L n t D b 2 x 1 b W 4 x M i w x M X 0 m c X V v d D s s J n F 1 b 3 Q 7 U 2 V j d G l v b j E v V G F i b G U w M D E g K F B h Z 2 U g M S k v Q X V 0 b 1 J l b W 9 2 Z W R D b 2 x 1 b W 5 z M S 5 7 Q 2 9 s d W 1 u M T M s M T J 9 J n F 1 b 3 Q 7 L C Z x d W 9 0 O 1 N l Y 3 R p b 2 4 x L 1 R h Y m x l M D A x I C h Q Y W d l I D E p L 0 F 1 d G 9 S Z W 1 v d m V k Q 2 9 s d W 1 u c z E u e 0 N v b H V t b j E 0 L D E z f S Z x d W 9 0 O y w m c X V v d D t T Z W N 0 a W 9 u M S 9 U Y W J s Z T A w M S A o U G F n Z S A x K S 9 B d X R v U m V t b 3 Z l Z E N v b H V t b n M x L n t D b 2 x 1 b W 4 x N S w x N H 0 m c X V v d D s s J n F 1 b 3 Q 7 U 2 V j d G l v b j E v V G F i b G U w M D E g K F B h Z 2 U g M S k v Q X V 0 b 1 J l b W 9 2 Z W R D b 2 x 1 b W 5 z M S 5 7 Q 2 9 s d W 1 u M T Y s M T V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U Y W J s Z T A w M S U y M C h Q Y W d l J T I w M S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s Z T A w M S U y M C h Q Y W d l J T I w M S k v V G F i b G U w M D E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I v y l p t 8 + B k 2 n 4 B s u B s y N m A A A A A A C A A A A A A A Q Z g A A A A E A A C A A A A D p 1 A z G X h j c z r h V 0 u + P L A J v s h D b s f W 8 G G 4 e N 0 W d N H l Z w Q A A A A A O g A A A A A I A A C A A A A C 0 C p E w 7 c Z U d g h B A A q W X K U x / F d B J D L 0 8 r U C L N Y y w K 3 7 T l A A A A D R p V q g A i n G 1 Q L c Y 6 H M T w Y g d N W d L l o U Q D e q 8 l X F A U e L V g X l S i g Y g + 3 5 6 e 3 I 5 s x S h Y P G r G b c H 0 p f R h + + T R u k 1 O b K O r G 0 I 2 j a C W d L c Z F u G 6 W K 0 0 A A A A A 2 N O K b B 1 s R / k u X Y 9 V w H 3 K d G d b j m Y f G 2 4 N A W C a S C p k 5 B z J u 2 C q x 5 Y F f 8 d o X 2 3 j u 3 E z 2 W x d k + J j B M + u B r / E 1 K v V a < / D a t a M a s h u p > 
</file>

<file path=customXml/itemProps1.xml><?xml version="1.0" encoding="utf-8"?>
<ds:datastoreItem xmlns:ds="http://schemas.openxmlformats.org/officeDocument/2006/customXml" ds:itemID="{28E1E551-3395-41A5-84D2-97B448B573F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Wind</vt:lpstr>
      <vt:lpstr>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A.</dc:creator>
  <cp:lastModifiedBy>Robin A.</cp:lastModifiedBy>
  <dcterms:created xsi:type="dcterms:W3CDTF">2025-03-05T13:00:14Z</dcterms:created>
  <dcterms:modified xsi:type="dcterms:W3CDTF">2025-11-26T17:11:29Z</dcterms:modified>
</cp:coreProperties>
</file>